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CB\270 Monsanto\270.25213 - Water Rights\Blackfoot Bridge Mine\Mitigation Reports\2020\"/>
    </mc:Choice>
  </mc:AlternateContent>
  <xr:revisionPtr revIDLastSave="0" documentId="13_ncr:1_{5F9912E2-BBB8-47D5-8844-AD3B4106AA56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Mitigation Accounting" sheetId="2" r:id="rId1"/>
    <sheet name="Evap &amp; Mit Calc" sheetId="3" r:id="rId2"/>
    <sheet name="Sheet1" sheetId="4" r:id="rId3"/>
  </sheets>
  <definedNames>
    <definedName name="Deep_Systems">'Mitigation Accounting'!#REF!</definedName>
    <definedName name="_xlnm.Print_Area" localSheetId="1">'Evap &amp; Mit Calc'!$A$1:$G$16</definedName>
    <definedName name="_xlnm.Print_Area" localSheetId="0">'Mitigation Accounting'!$A$1:$AG$28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1" i="2" l="1"/>
  <c r="BK12" i="2"/>
  <c r="BK13" i="2"/>
  <c r="BK14" i="2"/>
  <c r="BJ11" i="2"/>
  <c r="BJ12" i="2"/>
  <c r="BJ13" i="2"/>
  <c r="BJ15" i="2"/>
  <c r="BJ10" i="2"/>
  <c r="BJ9" i="2"/>
  <c r="BJ8" i="2"/>
  <c r="BD11" i="2"/>
  <c r="BD12" i="2"/>
  <c r="BD13" i="2"/>
  <c r="BD14" i="2"/>
  <c r="BJ14" i="2" s="1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10" i="2"/>
  <c r="BD9" i="2"/>
  <c r="BD8" i="2"/>
  <c r="K5" i="3"/>
  <c r="N10" i="3"/>
  <c r="BA8" i="2" l="1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Q8" i="2"/>
  <c r="M13" i="4" l="1"/>
  <c r="K13" i="4"/>
  <c r="I12" i="4"/>
  <c r="H12" i="4"/>
  <c r="I11" i="4"/>
  <c r="H11" i="4"/>
  <c r="M10" i="4"/>
  <c r="L10" i="4"/>
  <c r="I10" i="4"/>
  <c r="H10" i="4"/>
  <c r="I9" i="4"/>
  <c r="H9" i="4"/>
  <c r="I8" i="4"/>
  <c r="H8" i="4"/>
  <c r="I7" i="4"/>
  <c r="H7" i="4"/>
  <c r="I6" i="4"/>
  <c r="H6" i="4"/>
  <c r="I5" i="4"/>
  <c r="M6" i="4" s="1"/>
  <c r="H5" i="4"/>
  <c r="I13" i="4" l="1"/>
  <c r="J14" i="4" s="1"/>
  <c r="L14" i="4" s="1"/>
  <c r="M13" i="2"/>
  <c r="AQ14" i="2"/>
  <c r="AP14" i="2" l="1"/>
  <c r="K16" i="3" l="1"/>
  <c r="J16" i="3"/>
  <c r="H18" i="3" s="1"/>
  <c r="I4" i="3" s="1"/>
  <c r="J4" i="3" s="1"/>
  <c r="K4" i="3" s="1"/>
  <c r="L4" i="3" s="1"/>
  <c r="I16" i="3"/>
  <c r="H16" i="3"/>
  <c r="A14" i="3"/>
  <c r="A15" i="3" s="1"/>
  <c r="J5" i="3"/>
  <c r="L5" i="3" s="1"/>
  <c r="D4" i="3" l="1"/>
  <c r="D6" i="3"/>
  <c r="D8" i="3"/>
  <c r="D7" i="3"/>
  <c r="D5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D9" i="3" l="1"/>
  <c r="Y13" i="2"/>
  <c r="I13" i="2"/>
  <c r="H14" i="2"/>
  <c r="AQ13" i="2" l="1"/>
  <c r="L13" i="2" l="1"/>
  <c r="AQ9" i="2" l="1"/>
  <c r="AP9" i="2"/>
  <c r="AZ16" i="2" l="1"/>
  <c r="AZ17" i="2"/>
  <c r="AZ18" i="2"/>
  <c r="AZ19" i="2"/>
  <c r="AZ20" i="2"/>
  <c r="AZ21" i="2"/>
  <c r="AZ22" i="2"/>
  <c r="AZ23" i="2"/>
  <c r="AZ24" i="2"/>
  <c r="AZ25" i="2"/>
  <c r="AZ26" i="2"/>
  <c r="AZ27" i="2"/>
  <c r="I12" i="2" l="1"/>
  <c r="AG12" i="2" l="1"/>
  <c r="AG13" i="2"/>
  <c r="AJ13" i="2" s="1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10" i="2"/>
  <c r="AG8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10" i="2"/>
  <c r="AF9" i="2"/>
  <c r="AF8" i="2"/>
  <c r="AE11" i="2"/>
  <c r="AG11" i="2" s="1"/>
  <c r="AE9" i="2"/>
  <c r="AG9" i="2" s="1"/>
  <c r="H8" i="2"/>
  <c r="I8" i="2"/>
  <c r="M9" i="2" s="1"/>
  <c r="I11" i="2"/>
  <c r="I14" i="2"/>
  <c r="I10" i="2"/>
  <c r="I9" i="2"/>
  <c r="H11" i="2"/>
  <c r="H12" i="2"/>
  <c r="H13" i="2"/>
  <c r="H15" i="2"/>
  <c r="H16" i="2"/>
  <c r="H17" i="2"/>
  <c r="H18" i="2"/>
  <c r="H19" i="2"/>
  <c r="H20" i="2"/>
  <c r="H10" i="2"/>
  <c r="H9" i="2"/>
  <c r="H21" i="2"/>
  <c r="H22" i="2"/>
  <c r="H23" i="2"/>
  <c r="H24" i="2"/>
  <c r="H25" i="2"/>
  <c r="H26" i="2"/>
  <c r="H27" i="2"/>
  <c r="H28" i="2"/>
  <c r="AG28" i="2" l="1"/>
  <c r="AP10" i="2" l="1"/>
  <c r="AP8" i="2" l="1"/>
  <c r="BA11" i="2"/>
  <c r="BA12" i="2"/>
  <c r="BA13" i="2"/>
  <c r="BE13" i="2" s="1"/>
  <c r="BA14" i="2"/>
  <c r="BE14" i="2" s="1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10" i="2"/>
  <c r="BA9" i="2"/>
  <c r="BE9" i="2" s="1"/>
  <c r="AQ11" i="2"/>
  <c r="BE11" i="2" s="1"/>
  <c r="AQ12" i="2"/>
  <c r="BE12" i="2" s="1"/>
  <c r="AQ15" i="2"/>
  <c r="BE15" i="2" s="1"/>
  <c r="AQ16" i="2"/>
  <c r="AQ17" i="2"/>
  <c r="AQ18" i="2"/>
  <c r="BE18" i="2" s="1"/>
  <c r="AQ19" i="2"/>
  <c r="BE19" i="2" s="1"/>
  <c r="AQ20" i="2"/>
  <c r="AQ21" i="2"/>
  <c r="AQ22" i="2"/>
  <c r="BE22" i="2" s="1"/>
  <c r="AQ23" i="2"/>
  <c r="BE23" i="2" s="1"/>
  <c r="AQ24" i="2"/>
  <c r="BE24" i="2" s="1"/>
  <c r="AQ25" i="2"/>
  <c r="AQ26" i="2"/>
  <c r="BE26" i="2" s="1"/>
  <c r="AQ27" i="2"/>
  <c r="BE27" i="2" s="1"/>
  <c r="AQ28" i="2"/>
  <c r="AQ10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BE25" i="2" l="1"/>
  <c r="BE21" i="2"/>
  <c r="BE17" i="2"/>
  <c r="BE10" i="2"/>
  <c r="BE20" i="2"/>
  <c r="BE16" i="2"/>
  <c r="BE8" i="2"/>
  <c r="BK8" i="2" s="1"/>
  <c r="BK9" i="2"/>
  <c r="BE28" i="2"/>
  <c r="AF28" i="2" l="1"/>
  <c r="Y11" i="2"/>
  <c r="AJ11" i="2" s="1"/>
  <c r="Y12" i="2"/>
  <c r="AJ12" i="2" s="1"/>
  <c r="BI12" i="2" s="1"/>
  <c r="BM12" i="2" s="1"/>
  <c r="BI13" i="2"/>
  <c r="BM13" i="2" s="1"/>
  <c r="Y14" i="2"/>
  <c r="Y15" i="2"/>
  <c r="AJ15" i="2" s="1"/>
  <c r="Y16" i="2"/>
  <c r="AJ16" i="2" s="1"/>
  <c r="Y17" i="2"/>
  <c r="AJ17" i="2" s="1"/>
  <c r="Y18" i="2"/>
  <c r="AJ18" i="2" s="1"/>
  <c r="Y19" i="2"/>
  <c r="AJ19" i="2" s="1"/>
  <c r="Y20" i="2"/>
  <c r="AJ20" i="2" s="1"/>
  <c r="Y21" i="2"/>
  <c r="AJ21" i="2" s="1"/>
  <c r="Y22" i="2"/>
  <c r="AJ22" i="2" s="1"/>
  <c r="Y23" i="2"/>
  <c r="AJ23" i="2" s="1"/>
  <c r="Y24" i="2"/>
  <c r="AJ24" i="2" s="1"/>
  <c r="Y25" i="2"/>
  <c r="AJ25" i="2" s="1"/>
  <c r="Y26" i="2"/>
  <c r="AJ26" i="2" s="1"/>
  <c r="Y27" i="2"/>
  <c r="AJ27" i="2" s="1"/>
  <c r="Y28" i="2"/>
  <c r="AJ28" i="2" s="1"/>
  <c r="Y10" i="2"/>
  <c r="AJ10" i="2" s="1"/>
  <c r="Y9" i="2"/>
  <c r="AJ9" i="2" s="1"/>
  <c r="BI9" i="2" s="1"/>
  <c r="Y8" i="2"/>
  <c r="AJ8" i="2" s="1"/>
  <c r="AJ14" i="2" l="1"/>
  <c r="BI14" i="2" s="1"/>
  <c r="BM14" i="2" s="1"/>
  <c r="X11" i="2"/>
  <c r="AH11" i="2" s="1"/>
  <c r="X12" i="2"/>
  <c r="AH12" i="2" s="1"/>
  <c r="X13" i="2"/>
  <c r="AH13" i="2" s="1"/>
  <c r="X14" i="2"/>
  <c r="AH14" i="2" s="1"/>
  <c r="AI14" i="2" s="1"/>
  <c r="BH14" i="2" s="1"/>
  <c r="BL14" i="2" s="1"/>
  <c r="X15" i="2"/>
  <c r="AH15" i="2" s="1"/>
  <c r="X16" i="2"/>
  <c r="AH16" i="2" s="1"/>
  <c r="X17" i="2"/>
  <c r="AH17" i="2" s="1"/>
  <c r="X18" i="2"/>
  <c r="AH18" i="2" s="1"/>
  <c r="X19" i="2"/>
  <c r="AH19" i="2" s="1"/>
  <c r="X20" i="2"/>
  <c r="AH20" i="2" s="1"/>
  <c r="X21" i="2"/>
  <c r="AH21" i="2" s="1"/>
  <c r="X22" i="2"/>
  <c r="AH22" i="2" s="1"/>
  <c r="X23" i="2"/>
  <c r="AH23" i="2" s="1"/>
  <c r="X24" i="2"/>
  <c r="AH24" i="2" s="1"/>
  <c r="X25" i="2"/>
  <c r="AH25" i="2" s="1"/>
  <c r="X26" i="2"/>
  <c r="AH26" i="2" s="1"/>
  <c r="X27" i="2"/>
  <c r="AH27" i="2" s="1"/>
  <c r="X28" i="2"/>
  <c r="AH28" i="2" s="1"/>
  <c r="X10" i="2"/>
  <c r="X9" i="2"/>
  <c r="X8" i="2"/>
  <c r="AH9" i="2" l="1"/>
  <c r="AI9" i="2" s="1"/>
  <c r="BH9" i="2" s="1"/>
  <c r="AH10" i="2"/>
  <c r="AI10" i="2" s="1"/>
  <c r="BH10" i="2" s="1"/>
  <c r="BL10" i="2" s="1"/>
  <c r="BI11" i="2"/>
  <c r="AI16" i="2"/>
  <c r="AH8" i="2"/>
  <c r="BI8" i="2" l="1"/>
  <c r="BM8" i="2" s="1"/>
  <c r="BI10" i="2"/>
  <c r="AI8" i="2"/>
  <c r="BH8" i="2" s="1"/>
  <c r="BL8" i="2" s="1"/>
  <c r="AI18" i="2"/>
  <c r="AI28" i="2"/>
  <c r="AI26" i="2"/>
  <c r="AI13" i="2"/>
  <c r="BH13" i="2" s="1"/>
  <c r="AI25" i="2"/>
  <c r="AI17" i="2"/>
  <c r="AI24" i="2"/>
  <c r="AI20" i="2"/>
  <c r="AI12" i="2"/>
  <c r="BH12" i="2" s="1"/>
  <c r="AI22" i="2"/>
  <c r="AI21" i="2"/>
  <c r="AI27" i="2"/>
  <c r="AI23" i="2"/>
  <c r="AI19" i="2"/>
  <c r="AI15" i="2"/>
  <c r="BH15" i="2" s="1"/>
  <c r="BL15" i="2" s="1"/>
  <c r="AI11" i="2"/>
  <c r="BH11" i="2" s="1"/>
  <c r="AZ28" i="2" l="1"/>
  <c r="AP11" i="2"/>
  <c r="AP12" i="2"/>
  <c r="AP13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BD28" i="2" l="1"/>
  <c r="BL12" i="2"/>
  <c r="BL9" i="2"/>
  <c r="BL13" i="2"/>
  <c r="BM11" i="2"/>
  <c r="BK10" i="2"/>
  <c r="BL11" i="2" l="1"/>
  <c r="BM9" i="2"/>
  <c r="BM10" i="2"/>
</calcChain>
</file>

<file path=xl/sharedStrings.xml><?xml version="1.0" encoding="utf-8"?>
<sst xmlns="http://schemas.openxmlformats.org/spreadsheetml/2006/main" count="172" uniqueCount="83">
  <si>
    <t>YEAR</t>
  </si>
  <si>
    <r>
      <t xml:space="preserve">MITIGATION BALANCE </t>
    </r>
    <r>
      <rPr>
        <sz val="10"/>
        <rFont val="Arial Unicode MS"/>
        <family val="2"/>
      </rPr>
      <t>(all figures in acre-feet)</t>
    </r>
  </si>
  <si>
    <t>TOTAL MITIGATION REQUIRED</t>
  </si>
  <si>
    <t>Percent Used for Mitigation</t>
  </si>
  <si>
    <r>
      <t>MITIGATION PROVIDED</t>
    </r>
    <r>
      <rPr>
        <sz val="11"/>
        <rFont val="Arial Unicode MS"/>
        <family val="2"/>
      </rPr>
      <t xml:space="preserve"> </t>
    </r>
  </si>
  <si>
    <r>
      <t>MITIGATION REQUIRED</t>
    </r>
    <r>
      <rPr>
        <sz val="11"/>
        <rFont val="Arial Unicode MS"/>
        <family val="2"/>
      </rPr>
      <t xml:space="preserve"> </t>
    </r>
  </si>
  <si>
    <r>
      <rPr>
        <vertAlign val="super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 Evaporation calculated based on shallow systems using ET Idaho data for the Soda Springs station </t>
    </r>
  </si>
  <si>
    <t>EP1</t>
  </si>
  <si>
    <t>EP2</t>
  </si>
  <si>
    <t>EP3</t>
  </si>
  <si>
    <t>CP1</t>
  </si>
  <si>
    <t>NEP1</t>
  </si>
  <si>
    <t>Pond</t>
  </si>
  <si>
    <t>Inches</t>
  </si>
  <si>
    <t>AF</t>
  </si>
  <si>
    <t>POND EVAPORATION</t>
  </si>
  <si>
    <t>*Data from Soda Springs station for shallow open water systems</t>
  </si>
  <si>
    <t>Mitigation Required</t>
  </si>
  <si>
    <t>Mitigation Provided</t>
  </si>
  <si>
    <t>Projected</t>
  </si>
  <si>
    <t>Actual</t>
  </si>
  <si>
    <t>Mitigation               Balance</t>
  </si>
  <si>
    <t>Plus 10% cushion</t>
  </si>
  <si>
    <t xml:space="preserve">MITIGATION </t>
  </si>
  <si>
    <t>27-12002</t>
  </si>
  <si>
    <t>27-11344</t>
  </si>
  <si>
    <t>Acres</t>
  </si>
  <si>
    <t>n/a</t>
  </si>
  <si>
    <t>Water Right Nos. 27-12252 &amp; 27-12253</t>
  </si>
  <si>
    <t>Water Right No. 27-12252</t>
  </si>
  <si>
    <r>
      <rPr>
        <vertAlign val="superscript"/>
        <sz val="9"/>
        <rFont val="Calibri"/>
        <family val="2"/>
        <scheme val="minor"/>
      </rPr>
      <t xml:space="preserve">i </t>
    </r>
    <r>
      <rPr>
        <sz val="9"/>
        <rFont val="Calibri"/>
        <family val="2"/>
        <scheme val="minor"/>
      </rPr>
      <t xml:space="preserve"> Mitigation calculated based on grass pasture using ET Idaho data for the Soda Springs station</t>
    </r>
  </si>
  <si>
    <t>Water Right 27-49 (Blackfoot River)</t>
  </si>
  <si>
    <t>Water Right 27-12002 (Slug Creek)</t>
  </si>
  <si>
    <t>Water Rigt 27-11344 (Stock water)</t>
  </si>
  <si>
    <r>
      <t>Consumptive Value (ac-ft)</t>
    </r>
    <r>
      <rPr>
        <vertAlign val="superscript"/>
        <sz val="9"/>
        <rFont val="Calibri"/>
        <family val="2"/>
        <scheme val="minor"/>
      </rPr>
      <t>i</t>
    </r>
  </si>
  <si>
    <t>Mitigation Provided (ac-ft)</t>
  </si>
  <si>
    <t>Consumptive Value (ac-ft)i</t>
  </si>
  <si>
    <r>
      <t>Consumptive Value (ac-ft)</t>
    </r>
    <r>
      <rPr>
        <vertAlign val="superscript"/>
        <sz val="9"/>
        <rFont val="Calibri"/>
        <family val="2"/>
        <scheme val="minor"/>
      </rPr>
      <t>ii</t>
    </r>
  </si>
  <si>
    <t>mm/yr</t>
  </si>
  <si>
    <t>in/yr</t>
  </si>
  <si>
    <t>in/day</t>
  </si>
  <si>
    <t>Surface Area (acres)</t>
  </si>
  <si>
    <t>Days with Water</t>
  </si>
  <si>
    <t>Evaporation
(acre-feet)</t>
  </si>
  <si>
    <t>GROUNDWATER DIVERSIONS</t>
  </si>
  <si>
    <t>Water Right Nos 27-12251 &amp; 27-12254</t>
  </si>
  <si>
    <t>SURFACE WATER DIVERSIONS</t>
  </si>
  <si>
    <t>Diverted from CP1 to WMP                       (acre-feet)</t>
  </si>
  <si>
    <t>Diverted for    Dust Abatement</t>
  </si>
  <si>
    <t xml:space="preserve">EP1                </t>
  </si>
  <si>
    <t xml:space="preserve">Total Diverted                                               </t>
  </si>
  <si>
    <t xml:space="preserve">Diverted from North Pit                   </t>
  </si>
  <si>
    <t>* All figures in acre-feet</t>
  </si>
  <si>
    <t>Total Diverted                   (acre-feet)</t>
  </si>
  <si>
    <t xml:space="preserve">Diverted for Dust Abatement                          </t>
  </si>
  <si>
    <t xml:space="preserve">Diverted from Mid Pit                                  </t>
  </si>
  <si>
    <t>Total Evaporation (acre-feet)</t>
  </si>
  <si>
    <t>Diverted from EP1 to WMP   (acre-feet)</t>
  </si>
  <si>
    <t>Notes:</t>
  </si>
  <si>
    <t>Evaporation assumed to occur only during the months of April thru October.</t>
  </si>
  <si>
    <r>
      <rPr>
        <vertAlign val="super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 xml:space="preserve">  Calculated using groundwater model developed by ARCADIS and modified by NewFields</t>
    </r>
  </si>
  <si>
    <t>Infiltration</t>
  </si>
  <si>
    <t>Water Right #</t>
  </si>
  <si>
    <t>mm (total)</t>
  </si>
  <si>
    <t>April</t>
  </si>
  <si>
    <t>May</t>
  </si>
  <si>
    <t>June</t>
  </si>
  <si>
    <t xml:space="preserve">July </t>
  </si>
  <si>
    <t>Daily Pdef</t>
  </si>
  <si>
    <t>Days</t>
  </si>
  <si>
    <t>Total</t>
  </si>
  <si>
    <t>Sum</t>
  </si>
  <si>
    <t>27-49**</t>
  </si>
  <si>
    <t>mm*</t>
  </si>
  <si>
    <t>* ET Idaho Pdef data from Soda Springs station for Grass Pasture - low management</t>
  </si>
  <si>
    <t>** Pdef for 27-49 limited to April 1 -July 10 due to shortened irrigation season</t>
  </si>
  <si>
    <t xml:space="preserve">27-49 Pdef (mm) </t>
  </si>
  <si>
    <t>Effect on Blackfoot River Flow</t>
  </si>
  <si>
    <t>2019 POND EVAPORATION</t>
  </si>
  <si>
    <t>Days with water based on 2019 pond water level measurements provided by P4.</t>
  </si>
  <si>
    <r>
      <rPr>
        <vertAlign val="superscript"/>
        <sz val="9"/>
        <rFont val="Calibri"/>
        <family val="2"/>
        <scheme val="minor"/>
      </rPr>
      <t>ii</t>
    </r>
    <r>
      <rPr>
        <sz val="9"/>
        <rFont val="Calibri"/>
        <family val="2"/>
        <scheme val="minor"/>
      </rPr>
      <t xml:space="preserve"> Based on stockwater consumption of 20/gal/day for 250 cow-calf pairs from May 15-Oct 1</t>
    </r>
  </si>
  <si>
    <t>2019 MITIGATION REPORT - Blackfoot Bridge Mine (P4 Production, LLC)</t>
  </si>
  <si>
    <t>Water Supply Bank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</si>
</sst>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_);\(#,##0.0\)"/>
    <numFmt numFmtId="166" formatCode="0.0_);[Red]\(0.0\)"/>
    <numFmt numFmtId="167" formatCode="0.000000"/>
  </numFmts>
  <fonts count="1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Arial Unicode MS"/>
      <family val="2"/>
    </font>
    <font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 Unicode MS"/>
      <family val="2"/>
    </font>
    <font>
      <sz val="16"/>
      <name val="Arial Unicode MS"/>
      <family val="2"/>
    </font>
    <font>
      <b/>
      <sz val="10"/>
      <name val="Calibri"/>
      <family val="2"/>
      <scheme val="minor"/>
    </font>
    <font>
      <sz val="11"/>
      <color rgb="FF9C0006"/>
      <name val="Gill Sans MT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4E3C3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2" borderId="0" applyNumberFormat="0" applyBorder="0" applyAlignment="0" applyProtection="0"/>
  </cellStyleXfs>
  <cellXfs count="313">
    <xf numFmtId="0" fontId="0" fillId="0" borderId="0" xfId="0"/>
    <xf numFmtId="0" fontId="3" fillId="4" borderId="0" xfId="0" applyFont="1" applyFill="1"/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6" fontId="4" fillId="4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3" fillId="2" borderId="11" xfId="0" applyFont="1" applyFill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2" borderId="12" xfId="0" applyFont="1" applyFill="1" applyBorder="1" applyAlignment="1">
      <alignment horizontal="center" shrinkToFit="1"/>
    </xf>
    <xf numFmtId="0" fontId="6" fillId="4" borderId="0" xfId="0" applyFont="1" applyFill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10" fillId="4" borderId="0" xfId="0" applyFont="1" applyFill="1"/>
    <xf numFmtId="0" fontId="3" fillId="4" borderId="0" xfId="0" applyFont="1" applyFill="1" applyAlignment="1">
      <alignment horizontal="left"/>
    </xf>
    <xf numFmtId="166" fontId="8" fillId="4" borderId="0" xfId="0" applyNumberFormat="1" applyFont="1" applyFill="1" applyAlignment="1">
      <alignment horizontal="center"/>
    </xf>
    <xf numFmtId="0" fontId="11" fillId="4" borderId="0" xfId="0" applyFont="1" applyFill="1"/>
    <xf numFmtId="165" fontId="3" fillId="4" borderId="0" xfId="0" applyNumberFormat="1" applyFont="1" applyFill="1" applyAlignment="1">
      <alignment horizontal="left"/>
    </xf>
    <xf numFmtId="0" fontId="3" fillId="2" borderId="19" xfId="0" applyFont="1" applyFill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6" fillId="0" borderId="0" xfId="0" applyFont="1"/>
    <xf numFmtId="0" fontId="3" fillId="2" borderId="13" xfId="0" applyFont="1" applyFill="1" applyBorder="1" applyAlignment="1">
      <alignment horizontal="center" shrinkToFit="1"/>
    </xf>
    <xf numFmtId="164" fontId="3" fillId="5" borderId="15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166" fontId="17" fillId="4" borderId="0" xfId="0" applyNumberFormat="1" applyFont="1" applyFill="1" applyAlignment="1">
      <alignment horizontal="center"/>
    </xf>
    <xf numFmtId="9" fontId="3" fillId="4" borderId="2" xfId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29" xfId="0" applyFont="1" applyFill="1" applyBorder="1" applyAlignment="1">
      <alignment horizontal="center" vertical="center" textRotation="90" wrapText="1" shrinkToFi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center"/>
    </xf>
    <xf numFmtId="0" fontId="3" fillId="4" borderId="22" xfId="0" applyFont="1" applyFill="1" applyBorder="1" applyAlignment="1">
      <alignment horizontal="center" vertical="center" textRotation="90" wrapText="1" shrinkToFit="1"/>
    </xf>
    <xf numFmtId="9" fontId="3" fillId="2" borderId="14" xfId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textRotation="90" wrapText="1"/>
    </xf>
    <xf numFmtId="0" fontId="16" fillId="4" borderId="0" xfId="0" applyFont="1" applyFill="1"/>
    <xf numFmtId="0" fontId="3" fillId="4" borderId="0" xfId="0" applyFont="1" applyFill="1" applyAlignment="1">
      <alignment horizontal="center" wrapText="1"/>
    </xf>
    <xf numFmtId="0" fontId="2" fillId="0" borderId="0" xfId="0" applyFont="1"/>
    <xf numFmtId="0" fontId="14" fillId="0" borderId="0" xfId="0" applyFont="1" applyAlignment="1">
      <alignment horizontal="left"/>
    </xf>
    <xf numFmtId="164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9" fontId="3" fillId="0" borderId="1" xfId="1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9" fontId="3" fillId="2" borderId="18" xfId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9" fontId="3" fillId="11" borderId="45" xfId="1" applyFont="1" applyFill="1" applyBorder="1" applyAlignment="1">
      <alignment horizontal="center"/>
    </xf>
    <xf numFmtId="9" fontId="3" fillId="0" borderId="46" xfId="1" applyFont="1" applyBorder="1" applyAlignment="1">
      <alignment horizontal="center"/>
    </xf>
    <xf numFmtId="9" fontId="3" fillId="11" borderId="46" xfId="1" applyFont="1" applyFill="1" applyBorder="1" applyAlignment="1">
      <alignment horizontal="center"/>
    </xf>
    <xf numFmtId="9" fontId="3" fillId="11" borderId="47" xfId="1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11" borderId="46" xfId="0" applyFont="1" applyFill="1" applyBorder="1" applyAlignment="1">
      <alignment horizontal="center"/>
    </xf>
    <xf numFmtId="0" fontId="3" fillId="11" borderId="47" xfId="0" applyFont="1" applyFill="1" applyBorder="1" applyAlignment="1">
      <alignment horizontal="center"/>
    </xf>
    <xf numFmtId="164" fontId="3" fillId="11" borderId="42" xfId="0" applyNumberFormat="1" applyFont="1" applyFill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3" fillId="11" borderId="48" xfId="0" applyNumberFormat="1" applyFont="1" applyFill="1" applyBorder="1" applyAlignment="1">
      <alignment horizontal="center"/>
    </xf>
    <xf numFmtId="164" fontId="3" fillId="11" borderId="49" xfId="0" applyNumberFormat="1" applyFont="1" applyFill="1" applyBorder="1" applyAlignment="1">
      <alignment horizontal="center"/>
    </xf>
    <xf numFmtId="164" fontId="3" fillId="11" borderId="45" xfId="0" applyNumberFormat="1" applyFont="1" applyFill="1" applyBorder="1" applyAlignment="1">
      <alignment horizontal="center"/>
    </xf>
    <xf numFmtId="164" fontId="3" fillId="4" borderId="46" xfId="0" applyNumberFormat="1" applyFont="1" applyFill="1" applyBorder="1" applyAlignment="1">
      <alignment horizontal="center"/>
    </xf>
    <xf numFmtId="164" fontId="3" fillId="11" borderId="46" xfId="0" applyNumberFormat="1" applyFont="1" applyFill="1" applyBorder="1" applyAlignment="1">
      <alignment horizontal="center"/>
    </xf>
    <xf numFmtId="164" fontId="3" fillId="11" borderId="47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9" fontId="3" fillId="5" borderId="35" xfId="1" applyFont="1" applyFill="1" applyBorder="1" applyAlignment="1">
      <alignment horizontal="center"/>
    </xf>
    <xf numFmtId="9" fontId="3" fillId="5" borderId="32" xfId="1" applyFont="1" applyFill="1" applyBorder="1" applyAlignment="1">
      <alignment horizontal="center"/>
    </xf>
    <xf numFmtId="9" fontId="3" fillId="5" borderId="29" xfId="1" applyFont="1" applyFill="1" applyBorder="1" applyAlignment="1">
      <alignment horizontal="center"/>
    </xf>
    <xf numFmtId="9" fontId="3" fillId="4" borderId="46" xfId="1" applyFont="1" applyFill="1" applyBorder="1" applyAlignment="1">
      <alignment horizontal="center"/>
    </xf>
    <xf numFmtId="164" fontId="3" fillId="11" borderId="44" xfId="0" applyNumberFormat="1" applyFont="1" applyFill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11" borderId="43" xfId="0" applyNumberFormat="1" applyFont="1" applyFill="1" applyBorder="1" applyAlignment="1">
      <alignment horizontal="center"/>
    </xf>
    <xf numFmtId="164" fontId="3" fillId="4" borderId="43" xfId="0" applyNumberFormat="1" applyFont="1" applyFill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3" fillId="11" borderId="51" xfId="0" applyNumberFormat="1" applyFont="1" applyFill="1" applyBorder="1" applyAlignment="1">
      <alignment horizontal="center"/>
    </xf>
    <xf numFmtId="164" fontId="3" fillId="11" borderId="52" xfId="0" applyNumberFormat="1" applyFont="1" applyFill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3" fillId="11" borderId="55" xfId="0" applyNumberFormat="1" applyFont="1" applyFill="1" applyBorder="1" applyAlignment="1">
      <alignment horizontal="center"/>
    </xf>
    <xf numFmtId="164" fontId="3" fillId="11" borderId="56" xfId="0" applyNumberFormat="1" applyFont="1" applyFill="1" applyBorder="1" applyAlignment="1">
      <alignment horizontal="center"/>
    </xf>
    <xf numFmtId="0" fontId="3" fillId="7" borderId="54" xfId="0" applyFont="1" applyFill="1" applyBorder="1" applyAlignment="1">
      <alignment horizontal="center" vertical="center" textRotation="90" wrapText="1"/>
    </xf>
    <xf numFmtId="0" fontId="3" fillId="7" borderId="57" xfId="0" applyFont="1" applyFill="1" applyBorder="1" applyAlignment="1">
      <alignment horizontal="center" vertical="center" textRotation="90" wrapText="1"/>
    </xf>
    <xf numFmtId="0" fontId="3" fillId="7" borderId="49" xfId="0" applyFont="1" applyFill="1" applyBorder="1" applyAlignment="1">
      <alignment horizontal="center" vertical="center" textRotation="90" wrapText="1" shrinkToFit="1"/>
    </xf>
    <xf numFmtId="0" fontId="3" fillId="7" borderId="52" xfId="0" applyFont="1" applyFill="1" applyBorder="1" applyAlignment="1">
      <alignment horizontal="center" vertical="center" textRotation="90" wrapText="1" shrinkToFit="1"/>
    </xf>
    <xf numFmtId="0" fontId="3" fillId="7" borderId="56" xfId="0" applyFont="1" applyFill="1" applyBorder="1" applyAlignment="1">
      <alignment horizontal="center" vertical="center" textRotation="90" wrapText="1" shrinkToFit="1"/>
    </xf>
    <xf numFmtId="0" fontId="3" fillId="0" borderId="28" xfId="0" applyFont="1" applyBorder="1" applyAlignment="1">
      <alignment horizontal="center" shrinkToFit="1"/>
    </xf>
    <xf numFmtId="0" fontId="3" fillId="2" borderId="28" xfId="0" applyFont="1" applyFill="1" applyBorder="1" applyAlignment="1">
      <alignment horizontal="center" shrinkToFit="1"/>
    </xf>
    <xf numFmtId="0" fontId="3" fillId="4" borderId="4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shrinkToFit="1"/>
    </xf>
    <xf numFmtId="164" fontId="3" fillId="11" borderId="64" xfId="0" applyNumberFormat="1" applyFont="1" applyFill="1" applyBorder="1" applyAlignment="1">
      <alignment horizontal="center"/>
    </xf>
    <xf numFmtId="164" fontId="3" fillId="5" borderId="49" xfId="0" applyNumberFormat="1" applyFont="1" applyFill="1" applyBorder="1" applyAlignment="1">
      <alignment horizontal="center"/>
    </xf>
    <xf numFmtId="164" fontId="3" fillId="5" borderId="48" xfId="0" applyNumberFormat="1" applyFont="1" applyFill="1" applyBorder="1" applyAlignment="1">
      <alignment horizontal="center"/>
    </xf>
    <xf numFmtId="164" fontId="3" fillId="5" borderId="42" xfId="0" applyNumberFormat="1" applyFont="1" applyFill="1" applyBorder="1" applyAlignment="1">
      <alignment horizontal="center"/>
    </xf>
    <xf numFmtId="166" fontId="3" fillId="11" borderId="50" xfId="0" applyNumberFormat="1" applyFont="1" applyFill="1" applyBorder="1" applyAlignment="1">
      <alignment horizontal="center"/>
    </xf>
    <xf numFmtId="166" fontId="3" fillId="5" borderId="36" xfId="0" applyNumberFormat="1" applyFont="1" applyFill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166" fontId="3" fillId="0" borderId="37" xfId="0" applyNumberFormat="1" applyFont="1" applyBorder="1" applyAlignment="1">
      <alignment horizontal="center"/>
    </xf>
    <xf numFmtId="166" fontId="3" fillId="11" borderId="51" xfId="0" applyNumberFormat="1" applyFont="1" applyFill="1" applyBorder="1" applyAlignment="1">
      <alignment horizontal="center"/>
    </xf>
    <xf numFmtId="166" fontId="3" fillId="5" borderId="38" xfId="0" applyNumberFormat="1" applyFont="1" applyFill="1" applyBorder="1" applyAlignment="1">
      <alignment horizontal="center"/>
    </xf>
    <xf numFmtId="166" fontId="3" fillId="11" borderId="52" xfId="0" applyNumberFormat="1" applyFont="1" applyFill="1" applyBorder="1" applyAlignment="1">
      <alignment horizontal="center"/>
    </xf>
    <xf numFmtId="166" fontId="3" fillId="11" borderId="53" xfId="0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3" fillId="11" borderId="48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6" fontId="3" fillId="11" borderId="49" xfId="0" applyNumberFormat="1" applyFont="1" applyFill="1" applyBorder="1" applyAlignment="1">
      <alignment horizontal="center"/>
    </xf>
    <xf numFmtId="166" fontId="3" fillId="2" borderId="22" xfId="0" applyNumberFormat="1" applyFont="1" applyFill="1" applyBorder="1" applyAlignment="1">
      <alignment horizontal="center"/>
    </xf>
    <xf numFmtId="166" fontId="3" fillId="2" borderId="31" xfId="0" applyNumberFormat="1" applyFont="1" applyFill="1" applyBorder="1" applyAlignment="1">
      <alignment horizontal="center"/>
    </xf>
    <xf numFmtId="166" fontId="3" fillId="2" borderId="16" xfId="0" applyNumberFormat="1" applyFont="1" applyFill="1" applyBorder="1" applyAlignment="1">
      <alignment horizontal="center"/>
    </xf>
    <xf numFmtId="166" fontId="3" fillId="2" borderId="17" xfId="0" applyNumberFormat="1" applyFont="1" applyFill="1" applyBorder="1" applyAlignment="1">
      <alignment horizontal="center"/>
    </xf>
    <xf numFmtId="166" fontId="3" fillId="5" borderId="39" xfId="0" applyNumberFormat="1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 shrinkToFit="1"/>
    </xf>
    <xf numFmtId="164" fontId="3" fillId="2" borderId="31" xfId="0" applyNumberFormat="1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9" fontId="3" fillId="0" borderId="69" xfId="1" applyFont="1" applyBorder="1" applyAlignment="1">
      <alignment horizontal="center"/>
    </xf>
    <xf numFmtId="9" fontId="3" fillId="2" borderId="68" xfId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70" xfId="0" applyNumberFormat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2" borderId="15" xfId="1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5" borderId="2" xfId="1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0" fontId="3" fillId="7" borderId="72" xfId="0" applyFont="1" applyFill="1" applyBorder="1" applyAlignment="1">
      <alignment horizontal="center" vertical="center" textRotation="90" wrapText="1" shrinkToFit="1"/>
    </xf>
    <xf numFmtId="164" fontId="3" fillId="11" borderId="73" xfId="0" applyNumberFormat="1" applyFont="1" applyFill="1" applyBorder="1" applyAlignment="1">
      <alignment horizontal="center"/>
    </xf>
    <xf numFmtId="164" fontId="3" fillId="0" borderId="74" xfId="0" applyNumberFormat="1" applyFont="1" applyBorder="1" applyAlignment="1">
      <alignment horizontal="center"/>
    </xf>
    <xf numFmtId="164" fontId="3" fillId="11" borderId="74" xfId="0" applyNumberFormat="1" applyFont="1" applyFill="1" applyBorder="1" applyAlignment="1">
      <alignment horizontal="center"/>
    </xf>
    <xf numFmtId="164" fontId="3" fillId="11" borderId="72" xfId="0" applyNumberFormat="1" applyFont="1" applyFill="1" applyBorder="1" applyAlignment="1">
      <alignment horizontal="center"/>
    </xf>
    <xf numFmtId="0" fontId="3" fillId="4" borderId="71" xfId="0" applyFont="1" applyFill="1" applyBorder="1" applyAlignment="1">
      <alignment horizontal="center" vertical="center" textRotation="90" wrapText="1" shrinkToFit="1"/>
    </xf>
    <xf numFmtId="164" fontId="3" fillId="2" borderId="75" xfId="1" applyNumberFormat="1" applyFont="1" applyFill="1" applyBorder="1" applyAlignment="1">
      <alignment horizontal="center"/>
    </xf>
    <xf numFmtId="164" fontId="3" fillId="0" borderId="68" xfId="1" applyNumberFormat="1" applyFont="1" applyBorder="1" applyAlignment="1">
      <alignment horizontal="center"/>
    </xf>
    <xf numFmtId="164" fontId="3" fillId="2" borderId="68" xfId="1" applyNumberFormat="1" applyFont="1" applyFill="1" applyBorder="1" applyAlignment="1">
      <alignment horizontal="center"/>
    </xf>
    <xf numFmtId="164" fontId="3" fillId="2" borderId="76" xfId="1" applyNumberFormat="1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0" fillId="0" borderId="0" xfId="0" applyFont="1"/>
    <xf numFmtId="0" fontId="3" fillId="4" borderId="29" xfId="0" applyFont="1" applyFill="1" applyBorder="1" applyAlignment="1">
      <alignment horizontal="center" vertical="center" textRotation="90" wrapText="1"/>
    </xf>
    <xf numFmtId="0" fontId="3" fillId="4" borderId="70" xfId="0" applyFont="1" applyFill="1" applyBorder="1" applyAlignment="1">
      <alignment horizontal="center" vertical="center" textRotation="90" wrapText="1"/>
    </xf>
    <xf numFmtId="164" fontId="3" fillId="4" borderId="0" xfId="0" applyNumberFormat="1" applyFont="1" applyFill="1"/>
    <xf numFmtId="164" fontId="3" fillId="0" borderId="78" xfId="0" applyNumberFormat="1" applyFont="1" applyBorder="1" applyAlignment="1">
      <alignment horizontal="center"/>
    </xf>
    <xf numFmtId="165" fontId="3" fillId="4" borderId="0" xfId="0" applyNumberFormat="1" applyFont="1" applyFill="1"/>
    <xf numFmtId="0" fontId="2" fillId="0" borderId="79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0" xfId="0" applyFont="1"/>
    <xf numFmtId="0" fontId="13" fillId="0" borderId="69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0" fillId="0" borderId="10" xfId="0" applyBorder="1"/>
    <xf numFmtId="0" fontId="2" fillId="0" borderId="81" xfId="0" applyFont="1" applyBorder="1" applyAlignment="1">
      <alignment horizontal="center"/>
    </xf>
    <xf numFmtId="0" fontId="0" fillId="0" borderId="8" xfId="0" applyBorder="1"/>
    <xf numFmtId="0" fontId="0" fillId="0" borderId="32" xfId="0" applyBorder="1"/>
    <xf numFmtId="166" fontId="3" fillId="5" borderId="16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6" fontId="3" fillId="4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horizontal="left" vertical="center"/>
    </xf>
    <xf numFmtId="164" fontId="3" fillId="5" borderId="41" xfId="0" applyNumberFormat="1" applyFont="1" applyFill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164" fontId="3" fillId="5" borderId="37" xfId="0" applyNumberFormat="1" applyFont="1" applyFill="1" applyBorder="1" applyAlignment="1">
      <alignment horizontal="center"/>
    </xf>
    <xf numFmtId="164" fontId="3" fillId="5" borderId="43" xfId="0" applyNumberFormat="1" applyFont="1" applyFill="1" applyBorder="1" applyAlignment="1">
      <alignment horizontal="center"/>
    </xf>
    <xf numFmtId="164" fontId="3" fillId="5" borderId="44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wrapText="1" shrinkToFit="1"/>
    </xf>
    <xf numFmtId="0" fontId="3" fillId="7" borderId="25" xfId="0" applyFont="1" applyFill="1" applyBorder="1" applyAlignment="1">
      <alignment horizontal="center" wrapText="1" shrinkToFit="1"/>
    </xf>
    <xf numFmtId="0" fontId="3" fillId="7" borderId="23" xfId="0" applyFont="1" applyFill="1" applyBorder="1" applyAlignment="1">
      <alignment horizontal="center" wrapText="1" shrinkToFi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 shrinkToFit="1"/>
    </xf>
    <xf numFmtId="0" fontId="3" fillId="6" borderId="59" xfId="0" applyFont="1" applyFill="1" applyBorder="1" applyAlignment="1">
      <alignment horizontal="center" vertical="center" wrapText="1" shrinkToFit="1"/>
    </xf>
    <xf numFmtId="0" fontId="11" fillId="6" borderId="7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center" vertical="top" wrapText="1"/>
    </xf>
    <xf numFmtId="0" fontId="11" fillId="6" borderId="9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wrapText="1"/>
    </xf>
    <xf numFmtId="0" fontId="3" fillId="9" borderId="61" xfId="0" applyFont="1" applyFill="1" applyBorder="1" applyAlignment="1">
      <alignment horizontal="center" vertical="center" wrapText="1" shrinkToFit="1"/>
    </xf>
    <xf numFmtId="0" fontId="3" fillId="9" borderId="62" xfId="0" applyFont="1" applyFill="1" applyBorder="1" applyAlignment="1">
      <alignment horizontal="center" vertical="center" wrapText="1" shrinkToFi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textRotation="90" wrapText="1" shrinkToFit="1"/>
    </xf>
    <xf numFmtId="0" fontId="3" fillId="6" borderId="66" xfId="0" applyFont="1" applyFill="1" applyBorder="1" applyAlignment="1">
      <alignment horizontal="center" vertical="center" textRotation="90" wrapText="1" shrinkToFit="1"/>
    </xf>
    <xf numFmtId="0" fontId="3" fillId="3" borderId="65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6" borderId="61" xfId="0" applyFont="1" applyFill="1" applyBorder="1" applyAlignment="1">
      <alignment horizontal="center" vertical="center" wrapText="1" shrinkToFit="1"/>
    </xf>
    <xf numFmtId="0" fontId="11" fillId="6" borderId="4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vertical="center" wrapText="1" shrinkToFit="1"/>
    </xf>
    <xf numFmtId="0" fontId="3" fillId="10" borderId="5" xfId="0" applyFont="1" applyFill="1" applyBorder="1" applyAlignment="1">
      <alignment horizontal="center" vertical="center" wrapText="1" shrinkToFit="1"/>
    </xf>
    <xf numFmtId="0" fontId="3" fillId="10" borderId="27" xfId="0" applyFont="1" applyFill="1" applyBorder="1" applyAlignment="1">
      <alignment horizontal="center" vertical="center" wrapText="1" shrinkToFit="1"/>
    </xf>
    <xf numFmtId="0" fontId="3" fillId="10" borderId="3" xfId="0" applyFont="1" applyFill="1" applyBorder="1" applyAlignment="1">
      <alignment horizontal="center" vertical="center" wrapText="1" shrinkToFit="1"/>
    </xf>
    <xf numFmtId="0" fontId="3" fillId="10" borderId="33" xfId="0" applyFont="1" applyFill="1" applyBorder="1" applyAlignment="1">
      <alignment horizontal="center" vertical="center" wrapText="1" shrinkToFit="1"/>
    </xf>
    <xf numFmtId="0" fontId="3" fillId="10" borderId="34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center" wrapText="1"/>
    </xf>
    <xf numFmtId="0" fontId="11" fillId="9" borderId="8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 shrinkToFit="1"/>
    </xf>
    <xf numFmtId="0" fontId="3" fillId="9" borderId="59" xfId="0" applyFont="1" applyFill="1" applyBorder="1" applyAlignment="1">
      <alignment horizontal="center" vertical="center" wrapText="1" shrinkToFit="1"/>
    </xf>
    <xf numFmtId="0" fontId="11" fillId="9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top"/>
    </xf>
    <xf numFmtId="0" fontId="11" fillId="9" borderId="8" xfId="0" applyFont="1" applyFill="1" applyBorder="1" applyAlignment="1">
      <alignment horizontal="center" vertical="top"/>
    </xf>
    <xf numFmtId="0" fontId="11" fillId="9" borderId="9" xfId="0" applyFont="1" applyFill="1" applyBorder="1" applyAlignment="1">
      <alignment horizontal="center" vertical="top"/>
    </xf>
    <xf numFmtId="0" fontId="3" fillId="3" borderId="58" xfId="0" applyFont="1" applyFill="1" applyBorder="1" applyAlignment="1">
      <alignment horizontal="center" vertical="center" wrapText="1" shrinkToFit="1"/>
    </xf>
    <xf numFmtId="0" fontId="3" fillId="3" borderId="59" xfId="0" applyFont="1" applyFill="1" applyBorder="1" applyAlignment="1">
      <alignment horizontal="center" vertical="center" wrapText="1" shrinkToFit="1"/>
    </xf>
    <xf numFmtId="0" fontId="3" fillId="3" borderId="60" xfId="0" applyFont="1" applyFill="1" applyBorder="1" applyAlignment="1">
      <alignment horizontal="center" vertical="center" wrapText="1" shrinkToFit="1"/>
    </xf>
    <xf numFmtId="0" fontId="3" fillId="9" borderId="58" xfId="0" applyFont="1" applyFill="1" applyBorder="1" applyAlignment="1">
      <alignment horizontal="center" vertical="center" wrapText="1" shrinkToFit="1"/>
    </xf>
    <xf numFmtId="0" fontId="3" fillId="3" borderId="62" xfId="0" applyFont="1" applyFill="1" applyBorder="1" applyAlignment="1">
      <alignment horizontal="center" vertical="center" wrapText="1" shrinkToFit="1"/>
    </xf>
    <xf numFmtId="0" fontId="3" fillId="3" borderId="61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9" borderId="4" xfId="0" applyFont="1" applyFill="1" applyBorder="1" applyAlignment="1">
      <alignment horizontal="center" wrapText="1"/>
    </xf>
    <xf numFmtId="0" fontId="11" fillId="9" borderId="7" xfId="0" applyFont="1" applyFill="1" applyBorder="1" applyAlignment="1">
      <alignment horizontal="center" wrapText="1"/>
    </xf>
    <xf numFmtId="0" fontId="3" fillId="9" borderId="65" xfId="0" applyFont="1" applyFill="1" applyBorder="1" applyAlignment="1">
      <alignment horizontal="center" vertical="center" textRotation="90" wrapText="1"/>
    </xf>
    <xf numFmtId="0" fontId="3" fillId="9" borderId="66" xfId="0" applyFont="1" applyFill="1" applyBorder="1" applyAlignment="1">
      <alignment horizontal="center" vertical="center" textRotation="90" wrapText="1"/>
    </xf>
    <xf numFmtId="166" fontId="3" fillId="5" borderId="5" xfId="0" applyNumberFormat="1" applyFont="1" applyFill="1" applyBorder="1" applyAlignment="1">
      <alignment horizontal="center"/>
    </xf>
    <xf numFmtId="166" fontId="3" fillId="5" borderId="9" xfId="0" applyNumberFormat="1" applyFont="1" applyFill="1" applyBorder="1" applyAlignment="1">
      <alignment horizontal="center"/>
    </xf>
    <xf numFmtId="166" fontId="3" fillId="5" borderId="22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166" fontId="3" fillId="11" borderId="82" xfId="0" applyNumberFormat="1" applyFont="1" applyFill="1" applyBorder="1" applyAlignment="1">
      <alignment horizontal="center"/>
    </xf>
    <xf numFmtId="166" fontId="3" fillId="0" borderId="83" xfId="0" applyNumberFormat="1" applyFont="1" applyBorder="1" applyAlignment="1">
      <alignment horizontal="center"/>
    </xf>
    <xf numFmtId="166" fontId="3" fillId="11" borderId="74" xfId="0" applyNumberFormat="1" applyFont="1" applyFill="1" applyBorder="1" applyAlignment="1">
      <alignment horizontal="center"/>
    </xf>
    <xf numFmtId="166" fontId="3" fillId="11" borderId="72" xfId="0" applyNumberFormat="1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27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vertical="center" wrapText="1"/>
    </xf>
    <xf numFmtId="0" fontId="11" fillId="13" borderId="34" xfId="0" applyFont="1" applyFill="1" applyBorder="1" applyAlignment="1">
      <alignment horizontal="center" vertical="center" wrapText="1"/>
    </xf>
    <xf numFmtId="166" fontId="3" fillId="11" borderId="42" xfId="0" applyNumberFormat="1" applyFont="1" applyFill="1" applyBorder="1" applyAlignment="1">
      <alignment horizontal="center"/>
    </xf>
    <xf numFmtId="166" fontId="3" fillId="0" borderId="48" xfId="0" applyNumberFormat="1" applyFont="1" applyBorder="1" applyAlignment="1">
      <alignment horizontal="center"/>
    </xf>
  </cellXfs>
  <cellStyles count="4">
    <cellStyle name="Bad" xfId="3" builtinId="27"/>
    <cellStyle name="Normal" xfId="0" builtinId="0"/>
    <cellStyle name="Percent" xfId="1" builtinId="5"/>
    <cellStyle name="Percent 2" xfId="2" xr:uid="{00000000-0005-0000-0000-000003000000}"/>
  </cellStyles>
  <dxfs count="0"/>
  <tableStyles count="0" defaultTableStyle="TableStyleMedium9" defaultPivotStyle="PivotStyleLight16"/>
  <colors>
    <mruColors>
      <color rgb="FFE4E3C3"/>
      <color rgb="FFFFFF99"/>
      <color rgb="FFFFFFCC"/>
      <color rgb="FFE1E0BA"/>
      <color rgb="FFDADAAE"/>
      <color rgb="FFEBE0AF"/>
      <color rgb="FFE7D99D"/>
      <color rgb="FFEEF49E"/>
      <color rgb="FFEEEEBC"/>
      <color rgb="FFE2D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S113"/>
  <sheetViews>
    <sheetView tabSelected="1" topLeftCell="AK1" zoomScaleNormal="100" workbookViewId="0">
      <selection activeCell="BO21" sqref="BO21"/>
    </sheetView>
  </sheetViews>
  <sheetFormatPr defaultColWidth="9.140625" defaultRowHeight="12"/>
  <cols>
    <col min="1" max="16" width="6.85546875" style="13" customWidth="1"/>
    <col min="17" max="33" width="6.85546875" style="12" customWidth="1"/>
    <col min="34" max="36" width="6.85546875" style="13" customWidth="1"/>
    <col min="37" max="37" width="4" style="13" customWidth="1"/>
    <col min="38" max="57" width="6.85546875" style="13" customWidth="1"/>
    <col min="58" max="58" width="4" style="13" customWidth="1"/>
    <col min="59" max="65" width="6.85546875" style="13" customWidth="1"/>
    <col min="66" max="16384" width="9.140625" style="13"/>
  </cols>
  <sheetData>
    <row r="1" spans="1:97" s="37" customFormat="1" ht="24.75" customHeight="1">
      <c r="A1" s="35" t="s">
        <v>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</row>
    <row r="2" spans="1:97" s="15" customFormat="1" ht="12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89"/>
      <c r="L2" s="19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97" s="1" customFormat="1" ht="15.75" thickBot="1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1"/>
      <c r="Y3" s="14"/>
      <c r="Z3" s="12"/>
      <c r="AL3" s="17" t="s">
        <v>4</v>
      </c>
      <c r="BG3" s="18" t="s">
        <v>1</v>
      </c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</row>
    <row r="4" spans="1:97" s="1" customFormat="1" ht="15" customHeight="1">
      <c r="A4" s="196" t="s">
        <v>0</v>
      </c>
      <c r="B4" s="204" t="s">
        <v>44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82" t="s">
        <v>15</v>
      </c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4"/>
      <c r="Z4" s="270" t="s">
        <v>46</v>
      </c>
      <c r="AA4" s="271"/>
      <c r="AB4" s="271"/>
      <c r="AC4" s="271"/>
      <c r="AD4" s="271"/>
      <c r="AE4" s="271"/>
      <c r="AF4" s="271"/>
      <c r="AG4" s="272"/>
      <c r="AH4" s="216" t="s">
        <v>2</v>
      </c>
      <c r="AI4" s="217"/>
      <c r="AJ4" s="218"/>
      <c r="AK4" s="12"/>
      <c r="AL4" s="196" t="s">
        <v>0</v>
      </c>
      <c r="AM4" s="230" t="s">
        <v>31</v>
      </c>
      <c r="AN4" s="231"/>
      <c r="AO4" s="231"/>
      <c r="AP4" s="231"/>
      <c r="AQ4" s="288"/>
      <c r="AR4" s="234" t="s">
        <v>32</v>
      </c>
      <c r="AS4" s="235"/>
      <c r="AT4" s="235"/>
      <c r="AU4" s="235"/>
      <c r="AV4" s="236"/>
      <c r="AW4" s="290" t="s">
        <v>33</v>
      </c>
      <c r="AX4" s="258"/>
      <c r="AY4" s="258"/>
      <c r="AZ4" s="258"/>
      <c r="BA4" s="259"/>
      <c r="BB4" s="305" t="s">
        <v>82</v>
      </c>
      <c r="BC4" s="306"/>
      <c r="BD4" s="262" t="s">
        <v>18</v>
      </c>
      <c r="BE4" s="263"/>
      <c r="BF4" s="16"/>
      <c r="BG4" s="196" t="s">
        <v>0</v>
      </c>
      <c r="BH4" s="216" t="s">
        <v>17</v>
      </c>
      <c r="BI4" s="218"/>
      <c r="BJ4" s="240" t="s">
        <v>18</v>
      </c>
      <c r="BK4" s="241"/>
      <c r="BL4" s="246" t="s">
        <v>21</v>
      </c>
      <c r="BM4" s="247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</row>
    <row r="5" spans="1:97" s="22" customFormat="1" ht="12.75" customHeight="1">
      <c r="A5" s="197"/>
      <c r="B5" s="209" t="s">
        <v>45</v>
      </c>
      <c r="C5" s="210"/>
      <c r="D5" s="210"/>
      <c r="E5" s="210"/>
      <c r="F5" s="210"/>
      <c r="G5" s="210"/>
      <c r="H5" s="210"/>
      <c r="I5" s="210"/>
      <c r="J5" s="211"/>
      <c r="K5" s="211"/>
      <c r="L5" s="210"/>
      <c r="M5" s="212"/>
      <c r="N5" s="285" t="s">
        <v>28</v>
      </c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7"/>
      <c r="Z5" s="273" t="s">
        <v>29</v>
      </c>
      <c r="AA5" s="274"/>
      <c r="AB5" s="274"/>
      <c r="AC5" s="274"/>
      <c r="AD5" s="274"/>
      <c r="AE5" s="274"/>
      <c r="AF5" s="274"/>
      <c r="AG5" s="275"/>
      <c r="AH5" s="219"/>
      <c r="AI5" s="220"/>
      <c r="AJ5" s="221"/>
      <c r="AL5" s="197"/>
      <c r="AM5" s="232"/>
      <c r="AN5" s="233"/>
      <c r="AO5" s="233"/>
      <c r="AP5" s="233"/>
      <c r="AQ5" s="289"/>
      <c r="AR5" s="237"/>
      <c r="AS5" s="238"/>
      <c r="AT5" s="238"/>
      <c r="AU5" s="238"/>
      <c r="AV5" s="239"/>
      <c r="AW5" s="291"/>
      <c r="AX5" s="260"/>
      <c r="AY5" s="260"/>
      <c r="AZ5" s="260"/>
      <c r="BA5" s="261"/>
      <c r="BB5" s="307"/>
      <c r="BC5" s="308"/>
      <c r="BD5" s="264"/>
      <c r="BE5" s="265"/>
      <c r="BF5" s="7"/>
      <c r="BG5" s="197"/>
      <c r="BH5" s="219"/>
      <c r="BI5" s="221"/>
      <c r="BJ5" s="242"/>
      <c r="BK5" s="243"/>
      <c r="BL5" s="248"/>
      <c r="BM5" s="249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</row>
    <row r="6" spans="1:97" s="1" customFormat="1" ht="95.25" customHeight="1">
      <c r="A6" s="197"/>
      <c r="B6" s="199" t="s">
        <v>51</v>
      </c>
      <c r="C6" s="200"/>
      <c r="D6" s="201" t="s">
        <v>55</v>
      </c>
      <c r="E6" s="200"/>
      <c r="F6" s="207" t="s">
        <v>54</v>
      </c>
      <c r="G6" s="208"/>
      <c r="H6" s="201" t="s">
        <v>50</v>
      </c>
      <c r="I6" s="203"/>
      <c r="J6" s="201" t="s">
        <v>61</v>
      </c>
      <c r="K6" s="200"/>
      <c r="L6" s="201" t="s">
        <v>77</v>
      </c>
      <c r="M6" s="202"/>
      <c r="N6" s="276" t="s">
        <v>49</v>
      </c>
      <c r="O6" s="277"/>
      <c r="P6" s="278" t="s">
        <v>8</v>
      </c>
      <c r="Q6" s="277"/>
      <c r="R6" s="281" t="s">
        <v>9</v>
      </c>
      <c r="S6" s="277"/>
      <c r="T6" s="278" t="s">
        <v>10</v>
      </c>
      <c r="U6" s="277"/>
      <c r="V6" s="278" t="s">
        <v>11</v>
      </c>
      <c r="W6" s="277"/>
      <c r="X6" s="278" t="s">
        <v>56</v>
      </c>
      <c r="Y6" s="280"/>
      <c r="Z6" s="279" t="s">
        <v>57</v>
      </c>
      <c r="AA6" s="269"/>
      <c r="AB6" s="268" t="s">
        <v>47</v>
      </c>
      <c r="AC6" s="269"/>
      <c r="AD6" s="268" t="s">
        <v>48</v>
      </c>
      <c r="AE6" s="269"/>
      <c r="AF6" s="214" t="s">
        <v>53</v>
      </c>
      <c r="AG6" s="215"/>
      <c r="AH6" s="222"/>
      <c r="AI6" s="223"/>
      <c r="AJ6" s="224"/>
      <c r="AK6" s="12"/>
      <c r="AL6" s="197"/>
      <c r="AM6" s="225" t="s">
        <v>34</v>
      </c>
      <c r="AN6" s="207" t="s">
        <v>3</v>
      </c>
      <c r="AO6" s="208"/>
      <c r="AP6" s="207" t="s">
        <v>35</v>
      </c>
      <c r="AQ6" s="229"/>
      <c r="AR6" s="227" t="s">
        <v>36</v>
      </c>
      <c r="AS6" s="252" t="s">
        <v>3</v>
      </c>
      <c r="AT6" s="253"/>
      <c r="AU6" s="252" t="s">
        <v>35</v>
      </c>
      <c r="AV6" s="256"/>
      <c r="AW6" s="292" t="s">
        <v>37</v>
      </c>
      <c r="AX6" s="254" t="s">
        <v>3</v>
      </c>
      <c r="AY6" s="255"/>
      <c r="AZ6" s="254" t="s">
        <v>35</v>
      </c>
      <c r="BA6" s="257"/>
      <c r="BB6" s="309"/>
      <c r="BC6" s="310"/>
      <c r="BD6" s="266"/>
      <c r="BE6" s="267"/>
      <c r="BF6" s="41"/>
      <c r="BG6" s="197"/>
      <c r="BH6" s="222"/>
      <c r="BI6" s="224"/>
      <c r="BJ6" s="244"/>
      <c r="BK6" s="245"/>
      <c r="BL6" s="250"/>
      <c r="BM6" s="251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</row>
    <row r="7" spans="1:97" s="1" customFormat="1" ht="51.75" customHeight="1" thickBot="1">
      <c r="A7" s="198"/>
      <c r="B7" s="96" t="s">
        <v>19</v>
      </c>
      <c r="C7" s="43" t="s">
        <v>20</v>
      </c>
      <c r="D7" s="97" t="s">
        <v>19</v>
      </c>
      <c r="E7" s="43" t="s">
        <v>20</v>
      </c>
      <c r="F7" s="99" t="s">
        <v>19</v>
      </c>
      <c r="G7" s="44" t="s">
        <v>20</v>
      </c>
      <c r="H7" s="97" t="s">
        <v>19</v>
      </c>
      <c r="I7" s="50" t="s">
        <v>20</v>
      </c>
      <c r="J7" s="97" t="s">
        <v>19</v>
      </c>
      <c r="K7" s="43" t="s">
        <v>20</v>
      </c>
      <c r="L7" s="97" t="s">
        <v>19</v>
      </c>
      <c r="M7" s="46" t="s">
        <v>20</v>
      </c>
      <c r="N7" s="98" t="s">
        <v>19</v>
      </c>
      <c r="O7" s="44" t="s">
        <v>20</v>
      </c>
      <c r="P7" s="99" t="s">
        <v>19</v>
      </c>
      <c r="Q7" s="44" t="s">
        <v>20</v>
      </c>
      <c r="R7" s="99" t="s">
        <v>19</v>
      </c>
      <c r="S7" s="44" t="s">
        <v>20</v>
      </c>
      <c r="T7" s="99" t="s">
        <v>19</v>
      </c>
      <c r="U7" s="44" t="s">
        <v>20</v>
      </c>
      <c r="V7" s="99" t="s">
        <v>19</v>
      </c>
      <c r="W7" s="44" t="s">
        <v>20</v>
      </c>
      <c r="X7" s="99" t="s">
        <v>19</v>
      </c>
      <c r="Y7" s="48" t="s">
        <v>20</v>
      </c>
      <c r="Z7" s="98" t="s">
        <v>19</v>
      </c>
      <c r="AA7" s="44" t="s">
        <v>20</v>
      </c>
      <c r="AB7" s="99" t="s">
        <v>19</v>
      </c>
      <c r="AC7" s="158" t="s">
        <v>20</v>
      </c>
      <c r="AD7" s="153" t="s">
        <v>19</v>
      </c>
      <c r="AE7" s="44" t="s">
        <v>20</v>
      </c>
      <c r="AF7" s="99" t="s">
        <v>19</v>
      </c>
      <c r="AG7" s="48" t="s">
        <v>20</v>
      </c>
      <c r="AH7" s="98" t="s">
        <v>19</v>
      </c>
      <c r="AI7" s="100" t="s">
        <v>22</v>
      </c>
      <c r="AJ7" s="45" t="s">
        <v>20</v>
      </c>
      <c r="AK7" s="12"/>
      <c r="AL7" s="198"/>
      <c r="AM7" s="226"/>
      <c r="AN7" s="99" t="s">
        <v>19</v>
      </c>
      <c r="AO7" s="166" t="s">
        <v>20</v>
      </c>
      <c r="AP7" s="99" t="s">
        <v>19</v>
      </c>
      <c r="AQ7" s="167" t="s">
        <v>20</v>
      </c>
      <c r="AR7" s="228"/>
      <c r="AS7" s="99" t="s">
        <v>19</v>
      </c>
      <c r="AT7" s="166" t="s">
        <v>20</v>
      </c>
      <c r="AU7" s="99" t="s">
        <v>19</v>
      </c>
      <c r="AV7" s="45" t="s">
        <v>20</v>
      </c>
      <c r="AW7" s="293"/>
      <c r="AX7" s="99" t="s">
        <v>19</v>
      </c>
      <c r="AY7" s="166" t="s">
        <v>20</v>
      </c>
      <c r="AZ7" s="99" t="s">
        <v>19</v>
      </c>
      <c r="BA7" s="45" t="s">
        <v>20</v>
      </c>
      <c r="BB7" s="153" t="s">
        <v>19</v>
      </c>
      <c r="BC7" s="167" t="s">
        <v>20</v>
      </c>
      <c r="BD7" s="98" t="s">
        <v>19</v>
      </c>
      <c r="BE7" s="45" t="s">
        <v>20</v>
      </c>
      <c r="BF7" s="7"/>
      <c r="BG7" s="198"/>
      <c r="BH7" s="98" t="s">
        <v>19</v>
      </c>
      <c r="BI7" s="45" t="s">
        <v>20</v>
      </c>
      <c r="BJ7" s="98" t="s">
        <v>19</v>
      </c>
      <c r="BK7" s="45" t="s">
        <v>20</v>
      </c>
      <c r="BL7" s="98" t="s">
        <v>19</v>
      </c>
      <c r="BM7" s="45" t="s">
        <v>20</v>
      </c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</row>
    <row r="8" spans="1:97" s="1" customFormat="1" ht="12.75" customHeight="1">
      <c r="A8" s="24">
        <v>2013</v>
      </c>
      <c r="B8" s="72">
        <v>0</v>
      </c>
      <c r="C8" s="4">
        <v>0</v>
      </c>
      <c r="D8" s="76">
        <v>0</v>
      </c>
      <c r="E8" s="4">
        <v>0</v>
      </c>
      <c r="F8" s="76">
        <v>0</v>
      </c>
      <c r="G8" s="133">
        <v>47.9</v>
      </c>
      <c r="H8" s="76">
        <f t="shared" ref="H8:I10" si="0">B8+D8+F8</f>
        <v>0</v>
      </c>
      <c r="I8" s="148">
        <f t="shared" si="0"/>
        <v>47.9</v>
      </c>
      <c r="J8" s="76">
        <v>0</v>
      </c>
      <c r="K8" s="145">
        <v>0</v>
      </c>
      <c r="L8" s="76">
        <v>0</v>
      </c>
      <c r="M8" s="124">
        <v>21.7</v>
      </c>
      <c r="N8" s="72">
        <v>0</v>
      </c>
      <c r="O8" s="145">
        <v>0</v>
      </c>
      <c r="P8" s="76">
        <v>0</v>
      </c>
      <c r="Q8" s="145">
        <v>0</v>
      </c>
      <c r="R8" s="76">
        <v>0</v>
      </c>
      <c r="S8" s="145">
        <v>0</v>
      </c>
      <c r="T8" s="76">
        <v>0</v>
      </c>
      <c r="U8" s="145">
        <v>0</v>
      </c>
      <c r="V8" s="76">
        <v>0</v>
      </c>
      <c r="W8" s="145">
        <v>0</v>
      </c>
      <c r="X8" s="76">
        <f t="shared" ref="X8:Y10" si="1">N8+P8+R8+T8+V8</f>
        <v>0</v>
      </c>
      <c r="Y8" s="129">
        <f t="shared" si="1"/>
        <v>0</v>
      </c>
      <c r="Z8" s="72">
        <v>0</v>
      </c>
      <c r="AA8" s="145">
        <v>0</v>
      </c>
      <c r="AB8" s="76">
        <v>0</v>
      </c>
      <c r="AC8" s="159">
        <v>0</v>
      </c>
      <c r="AD8" s="154">
        <v>30</v>
      </c>
      <c r="AE8" s="145">
        <v>13.5</v>
      </c>
      <c r="AF8" s="76">
        <f t="shared" ref="AF8:AG10" si="2">Z8+AB8+AD8</f>
        <v>30</v>
      </c>
      <c r="AG8" s="129">
        <f t="shared" si="2"/>
        <v>13.5</v>
      </c>
      <c r="AH8" s="72">
        <f>L8+X8+AF8</f>
        <v>30</v>
      </c>
      <c r="AI8" s="105">
        <f>AH8*1.1</f>
        <v>33</v>
      </c>
      <c r="AJ8" s="117">
        <f>M8+Y8+AG8</f>
        <v>35.200000000000003</v>
      </c>
      <c r="AK8" s="12"/>
      <c r="AL8" s="9">
        <v>2013</v>
      </c>
      <c r="AM8" s="108">
        <v>96.832181758530183</v>
      </c>
      <c r="AN8" s="65">
        <v>1</v>
      </c>
      <c r="AO8" s="49">
        <v>1</v>
      </c>
      <c r="AP8" s="76">
        <f t="shared" ref="AP8:AP28" si="3">AM8*AN8</f>
        <v>96.832181758530183</v>
      </c>
      <c r="AQ8" s="191">
        <f>AM8*AO8</f>
        <v>96.832181758530183</v>
      </c>
      <c r="AR8" s="108">
        <v>102.72637795275591</v>
      </c>
      <c r="AS8" s="65">
        <v>1</v>
      </c>
      <c r="AT8" s="81">
        <v>1</v>
      </c>
      <c r="AU8" s="109">
        <v>102.72637795275591</v>
      </c>
      <c r="AV8" s="110">
        <f>AR8*AT8</f>
        <v>102.72637795275591</v>
      </c>
      <c r="AW8" s="108">
        <v>2.11</v>
      </c>
      <c r="AX8" s="65">
        <v>1</v>
      </c>
      <c r="AY8" s="81">
        <v>1</v>
      </c>
      <c r="AZ8" s="109">
        <v>2.11</v>
      </c>
      <c r="BA8" s="294">
        <f>AW8*AY8</f>
        <v>2.11</v>
      </c>
      <c r="BB8" s="301">
        <v>0</v>
      </c>
      <c r="BC8" s="294">
        <v>0</v>
      </c>
      <c r="BD8" s="116">
        <f>AP8+AU8+AZ8+BB8</f>
        <v>201.66855971128609</v>
      </c>
      <c r="BE8" s="117">
        <f>AQ8+AV8+BA8</f>
        <v>201.66855971128609</v>
      </c>
      <c r="BF8" s="7"/>
      <c r="BG8" s="104">
        <v>2013</v>
      </c>
      <c r="BH8" s="311">
        <f>AI8</f>
        <v>33</v>
      </c>
      <c r="BI8" s="117">
        <f>AJ8</f>
        <v>35.200000000000003</v>
      </c>
      <c r="BJ8" s="116">
        <f>BD8</f>
        <v>201.66855971128609</v>
      </c>
      <c r="BK8" s="124">
        <f>BE8</f>
        <v>201.66855971128609</v>
      </c>
      <c r="BL8" s="311">
        <f t="shared" ref="BL8:BM13" si="4">BJ8-BH8</f>
        <v>168.66855971128609</v>
      </c>
      <c r="BM8" s="117">
        <f t="shared" si="4"/>
        <v>166.4685597112861</v>
      </c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</row>
    <row r="9" spans="1:97" s="1" customFormat="1" ht="12.75" customHeight="1">
      <c r="A9" s="25">
        <v>2014</v>
      </c>
      <c r="B9" s="86">
        <v>413.2</v>
      </c>
      <c r="C9" s="47">
        <v>276.60000000000002</v>
      </c>
      <c r="D9" s="89">
        <v>0</v>
      </c>
      <c r="E9" s="5">
        <v>0</v>
      </c>
      <c r="F9" s="90">
        <v>46.8</v>
      </c>
      <c r="G9" s="47">
        <v>29.14</v>
      </c>
      <c r="H9" s="89">
        <f t="shared" si="0"/>
        <v>460</v>
      </c>
      <c r="I9" s="149">
        <f t="shared" si="0"/>
        <v>305.74</v>
      </c>
      <c r="J9" s="169">
        <v>0</v>
      </c>
      <c r="K9" s="47">
        <v>0</v>
      </c>
      <c r="L9" s="89">
        <v>195</v>
      </c>
      <c r="M9" s="119">
        <f>253.21+(I8-M8)</f>
        <v>279.41000000000003</v>
      </c>
      <c r="N9" s="73">
        <v>0</v>
      </c>
      <c r="O9" s="47">
        <v>2.1</v>
      </c>
      <c r="P9" s="90">
        <v>0</v>
      </c>
      <c r="Q9" s="47">
        <v>0</v>
      </c>
      <c r="R9" s="90">
        <v>0</v>
      </c>
      <c r="S9" s="47">
        <v>0</v>
      </c>
      <c r="T9" s="90">
        <v>0</v>
      </c>
      <c r="U9" s="47">
        <v>0</v>
      </c>
      <c r="V9" s="90">
        <v>0</v>
      </c>
      <c r="W9" s="47">
        <v>0</v>
      </c>
      <c r="X9" s="90">
        <f t="shared" si="1"/>
        <v>0</v>
      </c>
      <c r="Y9" s="130">
        <f t="shared" si="1"/>
        <v>2.1</v>
      </c>
      <c r="Z9" s="73">
        <v>0</v>
      </c>
      <c r="AA9" s="47">
        <v>0</v>
      </c>
      <c r="AB9" s="90">
        <v>0</v>
      </c>
      <c r="AC9" s="160">
        <v>0</v>
      </c>
      <c r="AD9" s="155">
        <v>13.3</v>
      </c>
      <c r="AE9" s="47">
        <f>23.97+((333*4000)/325851)</f>
        <v>28.05775790161761</v>
      </c>
      <c r="AF9" s="90">
        <f t="shared" si="2"/>
        <v>13.3</v>
      </c>
      <c r="AG9" s="130">
        <f t="shared" si="2"/>
        <v>28.05775790161761</v>
      </c>
      <c r="AH9" s="73">
        <f>L9+X9+AF9</f>
        <v>208.3</v>
      </c>
      <c r="AI9" s="93">
        <f>AH9*1.1</f>
        <v>229.13000000000002</v>
      </c>
      <c r="AJ9" s="119">
        <f>M9+Y9+AG9</f>
        <v>309.56775790161765</v>
      </c>
      <c r="AK9" s="12"/>
      <c r="AL9" s="10">
        <v>2014</v>
      </c>
      <c r="AM9" s="86">
        <v>96.832181758530183</v>
      </c>
      <c r="AN9" s="66">
        <v>1</v>
      </c>
      <c r="AO9" s="141">
        <v>1</v>
      </c>
      <c r="AP9" s="89">
        <f>AM9*AN9</f>
        <v>96.832181758530183</v>
      </c>
      <c r="AQ9" s="192">
        <f>AM9*AO9</f>
        <v>96.832181758530183</v>
      </c>
      <c r="AR9" s="73">
        <v>102.72637795275591</v>
      </c>
      <c r="AS9" s="84">
        <v>1</v>
      </c>
      <c r="AT9" s="42">
        <v>1</v>
      </c>
      <c r="AU9" s="111">
        <v>102.72637795275591</v>
      </c>
      <c r="AV9" s="112">
        <f t="shared" ref="AV9:AV28" si="5">AR9*AT9</f>
        <v>102.72637795275591</v>
      </c>
      <c r="AW9" s="73">
        <v>2.11</v>
      </c>
      <c r="AX9" s="84">
        <v>1</v>
      </c>
      <c r="AY9" s="42">
        <v>1</v>
      </c>
      <c r="AZ9" s="111">
        <v>2.11</v>
      </c>
      <c r="BA9" s="119">
        <f>AW9*AY9</f>
        <v>2.11</v>
      </c>
      <c r="BB9" s="302">
        <v>0</v>
      </c>
      <c r="BC9" s="119">
        <v>0</v>
      </c>
      <c r="BD9" s="118">
        <f>AP9+AU9+AZ9+BB9</f>
        <v>201.66855971128609</v>
      </c>
      <c r="BE9" s="119">
        <f>AQ9+AV9+BA9</f>
        <v>201.66855971128609</v>
      </c>
      <c r="BF9" s="7"/>
      <c r="BG9" s="101">
        <v>2014</v>
      </c>
      <c r="BH9" s="312">
        <f>AI9</f>
        <v>229.13000000000002</v>
      </c>
      <c r="BI9" s="119">
        <f>AJ9</f>
        <v>309.56775790161765</v>
      </c>
      <c r="BJ9" s="118">
        <f>BD9</f>
        <v>201.66855971128609</v>
      </c>
      <c r="BK9" s="119">
        <f>BE9</f>
        <v>201.66855971128609</v>
      </c>
      <c r="BL9" s="312">
        <f t="shared" si="4"/>
        <v>-27.461440288713931</v>
      </c>
      <c r="BM9" s="119">
        <f t="shared" si="4"/>
        <v>-107.89919819033156</v>
      </c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</row>
    <row r="10" spans="1:97" s="1" customFormat="1" ht="12.75" customHeight="1">
      <c r="A10" s="26">
        <v>2015</v>
      </c>
      <c r="B10" s="87">
        <v>332.2</v>
      </c>
      <c r="C10" s="6">
        <v>239.27</v>
      </c>
      <c r="D10" s="78">
        <v>0</v>
      </c>
      <c r="E10" s="6">
        <v>0</v>
      </c>
      <c r="F10" s="91">
        <v>30</v>
      </c>
      <c r="G10" s="151">
        <v>35.267604172634108</v>
      </c>
      <c r="H10" s="78">
        <f t="shared" si="0"/>
        <v>362.2</v>
      </c>
      <c r="I10" s="150">
        <f t="shared" si="0"/>
        <v>274.53760417263413</v>
      </c>
      <c r="J10" s="78">
        <v>0</v>
      </c>
      <c r="K10" s="135">
        <v>324</v>
      </c>
      <c r="L10" s="78">
        <v>160.1</v>
      </c>
      <c r="M10" s="185">
        <v>0.1</v>
      </c>
      <c r="N10" s="74">
        <v>0</v>
      </c>
      <c r="O10" s="6">
        <v>0.5766181731564346</v>
      </c>
      <c r="P10" s="91">
        <v>0</v>
      </c>
      <c r="Q10" s="6">
        <v>7.8083989501436845E-3</v>
      </c>
      <c r="R10" s="91">
        <v>0</v>
      </c>
      <c r="S10" s="6">
        <v>0.24887845461954494</v>
      </c>
      <c r="T10" s="91">
        <v>0</v>
      </c>
      <c r="U10" s="6">
        <v>0.33809810347983893</v>
      </c>
      <c r="V10" s="91">
        <v>0</v>
      </c>
      <c r="W10" s="6">
        <v>0</v>
      </c>
      <c r="X10" s="91">
        <f t="shared" si="1"/>
        <v>0</v>
      </c>
      <c r="Y10" s="131">
        <f t="shared" si="1"/>
        <v>1.1714031302059622</v>
      </c>
      <c r="Z10" s="74">
        <v>0</v>
      </c>
      <c r="AA10" s="135">
        <v>0</v>
      </c>
      <c r="AB10" s="91">
        <v>0</v>
      </c>
      <c r="AC10" s="161">
        <v>0</v>
      </c>
      <c r="AD10" s="156">
        <v>30</v>
      </c>
      <c r="AE10" s="6">
        <v>2.9645410399203405</v>
      </c>
      <c r="AF10" s="91">
        <f t="shared" si="2"/>
        <v>30</v>
      </c>
      <c r="AG10" s="131">
        <f t="shared" si="2"/>
        <v>2.9645410399203405</v>
      </c>
      <c r="AH10" s="74">
        <f>L10+X10+AF10</f>
        <v>190.1</v>
      </c>
      <c r="AI10" s="94">
        <f>AH10*1.1</f>
        <v>209.11</v>
      </c>
      <c r="AJ10" s="121">
        <f>M10+Y10+AG10</f>
        <v>4.2359441701263023</v>
      </c>
      <c r="AK10" s="12"/>
      <c r="AL10" s="11">
        <v>2015</v>
      </c>
      <c r="AM10" s="194">
        <v>96.832181758530183</v>
      </c>
      <c r="AN10" s="67">
        <v>1</v>
      </c>
      <c r="AO10" s="142">
        <v>1</v>
      </c>
      <c r="AP10" s="78">
        <f>AM10*AN10</f>
        <v>96.832181758530183</v>
      </c>
      <c r="AQ10" s="193">
        <f>AM10*AO10</f>
        <v>96.832181758530183</v>
      </c>
      <c r="AR10" s="107">
        <v>102.72637795275591</v>
      </c>
      <c r="AS10" s="67">
        <v>1</v>
      </c>
      <c r="AT10" s="142">
        <v>1</v>
      </c>
      <c r="AU10" s="113">
        <v>102.72637795275591</v>
      </c>
      <c r="AV10" s="114">
        <f t="shared" si="5"/>
        <v>102.72637795275591</v>
      </c>
      <c r="AW10" s="107">
        <v>2.11</v>
      </c>
      <c r="AX10" s="67">
        <v>1</v>
      </c>
      <c r="AY10" s="142">
        <v>1</v>
      </c>
      <c r="AZ10" s="113">
        <v>2.11</v>
      </c>
      <c r="BA10" s="295">
        <f>AW10*AY10</f>
        <v>2.11</v>
      </c>
      <c r="BB10" s="303">
        <v>0</v>
      </c>
      <c r="BC10" s="295">
        <v>0</v>
      </c>
      <c r="BD10" s="120">
        <f>AP10+AU10+AZ10+BB10</f>
        <v>201.66855971128609</v>
      </c>
      <c r="BE10" s="121">
        <f>AQ10+AV10+BA10</f>
        <v>201.66855971128609</v>
      </c>
      <c r="BF10" s="7"/>
      <c r="BG10" s="102">
        <v>2015</v>
      </c>
      <c r="BH10" s="120">
        <f>AI10</f>
        <v>209.11</v>
      </c>
      <c r="BI10" s="121">
        <f>AJ10</f>
        <v>4.2359441701263023</v>
      </c>
      <c r="BJ10" s="120">
        <f>BD10</f>
        <v>201.66855971128609</v>
      </c>
      <c r="BK10" s="125">
        <f t="shared" ref="BK10:BK14" si="6">BE10</f>
        <v>201.66855971128609</v>
      </c>
      <c r="BL10" s="120">
        <f t="shared" si="4"/>
        <v>-7.4414402887139204</v>
      </c>
      <c r="BM10" s="121">
        <f t="shared" si="4"/>
        <v>197.43261554115981</v>
      </c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</row>
    <row r="11" spans="1:97" s="1" customFormat="1" ht="12.75" customHeight="1">
      <c r="A11" s="25">
        <v>2016</v>
      </c>
      <c r="B11" s="86">
        <v>0</v>
      </c>
      <c r="C11" s="47">
        <v>0.6</v>
      </c>
      <c r="D11" s="77">
        <v>0</v>
      </c>
      <c r="E11" s="5">
        <v>0</v>
      </c>
      <c r="F11" s="90">
        <v>35</v>
      </c>
      <c r="G11" s="47">
        <v>25.91</v>
      </c>
      <c r="H11" s="89">
        <f t="shared" ref="H11:H20" si="7">B11+D11+F11</f>
        <v>35</v>
      </c>
      <c r="I11" s="149">
        <f t="shared" ref="I11:I18" si="8">C11+E11+G11</f>
        <v>26.51</v>
      </c>
      <c r="J11" s="169">
        <v>0</v>
      </c>
      <c r="K11" s="47">
        <v>205.3</v>
      </c>
      <c r="L11" s="89">
        <v>18.399999999999999</v>
      </c>
      <c r="M11" s="119">
        <v>-69.5</v>
      </c>
      <c r="N11" s="73">
        <v>0</v>
      </c>
      <c r="O11" s="47">
        <v>1.0300668752022435</v>
      </c>
      <c r="P11" s="90">
        <v>0</v>
      </c>
      <c r="Q11" s="47">
        <v>0.82405350016179491</v>
      </c>
      <c r="R11" s="90">
        <v>0</v>
      </c>
      <c r="S11" s="47">
        <v>0.27404271383885231</v>
      </c>
      <c r="T11" s="90">
        <v>0</v>
      </c>
      <c r="U11" s="47">
        <v>1.304751375256175</v>
      </c>
      <c r="V11" s="90">
        <v>0</v>
      </c>
      <c r="W11" s="47">
        <v>0.19253586452378382</v>
      </c>
      <c r="X11" s="90">
        <f t="shared" ref="X11:X27" si="9">N11+P11+R11+T11+V11</f>
        <v>0</v>
      </c>
      <c r="Y11" s="130">
        <f t="shared" ref="Y11:Y28" si="10">O11+Q11+S11+U11+W11</f>
        <v>3.6254503289828497</v>
      </c>
      <c r="Z11" s="73">
        <v>0</v>
      </c>
      <c r="AA11" s="47">
        <v>0</v>
      </c>
      <c r="AB11" s="90">
        <v>0</v>
      </c>
      <c r="AC11" s="160">
        <v>0</v>
      </c>
      <c r="AD11" s="155">
        <v>0</v>
      </c>
      <c r="AE11" s="47">
        <f>14.88+0.49</f>
        <v>15.370000000000001</v>
      </c>
      <c r="AF11" s="90">
        <f t="shared" ref="AF11:AF27" si="11">Z11+AB11+AD11</f>
        <v>0</v>
      </c>
      <c r="AG11" s="130">
        <f t="shared" ref="AG11:AG27" si="12">AA11+AC11+AE11</f>
        <v>15.370000000000001</v>
      </c>
      <c r="AH11" s="73">
        <f t="shared" ref="AH11:AH28" si="13">L11+X11+AF11</f>
        <v>18.399999999999999</v>
      </c>
      <c r="AI11" s="93">
        <f t="shared" ref="AI11:AI27" si="14">AH11*1.1</f>
        <v>20.239999999999998</v>
      </c>
      <c r="AJ11" s="119">
        <f>M11+Y11+AG11</f>
        <v>-50.504549671017145</v>
      </c>
      <c r="AK11" s="12"/>
      <c r="AL11" s="10">
        <v>2016</v>
      </c>
      <c r="AM11" s="86">
        <v>96.832181758530183</v>
      </c>
      <c r="AN11" s="66">
        <v>1</v>
      </c>
      <c r="AO11" s="59">
        <v>1</v>
      </c>
      <c r="AP11" s="89">
        <f t="shared" si="3"/>
        <v>96.832181758530183</v>
      </c>
      <c r="AQ11" s="192">
        <f t="shared" ref="AQ11:AQ28" si="15">AM11*AO11</f>
        <v>96.832181758530183</v>
      </c>
      <c r="AR11" s="73">
        <v>102.72637795275591</v>
      </c>
      <c r="AS11" s="84">
        <v>1</v>
      </c>
      <c r="AT11" s="42">
        <v>1</v>
      </c>
      <c r="AU11" s="111">
        <v>102.72637795275591</v>
      </c>
      <c r="AV11" s="112">
        <f t="shared" si="5"/>
        <v>102.72637795275591</v>
      </c>
      <c r="AW11" s="73">
        <v>2.11</v>
      </c>
      <c r="AX11" s="84">
        <v>1</v>
      </c>
      <c r="AY11" s="42">
        <v>1</v>
      </c>
      <c r="AZ11" s="111">
        <v>2.11</v>
      </c>
      <c r="BA11" s="119">
        <f t="shared" ref="BA11:BA28" si="16">AW11*AY11</f>
        <v>2.11</v>
      </c>
      <c r="BB11" s="302">
        <v>0</v>
      </c>
      <c r="BC11" s="119">
        <v>0</v>
      </c>
      <c r="BD11" s="118">
        <f t="shared" ref="BD11:BD27" si="17">AP11+AU11+AZ11+BB11</f>
        <v>201.66855971128609</v>
      </c>
      <c r="BE11" s="119">
        <f>AQ11+AV11+BA11</f>
        <v>201.66855971128609</v>
      </c>
      <c r="BF11" s="7"/>
      <c r="BG11" s="101">
        <v>2016</v>
      </c>
      <c r="BH11" s="312">
        <f>AI11</f>
        <v>20.239999999999998</v>
      </c>
      <c r="BI11" s="119">
        <f>AJ11</f>
        <v>-50.504549671017145</v>
      </c>
      <c r="BJ11" s="118">
        <f t="shared" ref="BJ11:BJ15" si="18">BD11</f>
        <v>201.66855971128609</v>
      </c>
      <c r="BK11" s="119">
        <f t="shared" si="6"/>
        <v>201.66855971128609</v>
      </c>
      <c r="BL11" s="312">
        <f t="shared" si="4"/>
        <v>181.42855971128608</v>
      </c>
      <c r="BM11" s="119">
        <f t="shared" si="4"/>
        <v>252.17310938230324</v>
      </c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</row>
    <row r="12" spans="1:97" s="1" customFormat="1" ht="12.75" customHeight="1">
      <c r="A12" s="26">
        <v>2017</v>
      </c>
      <c r="B12" s="87">
        <v>273.2</v>
      </c>
      <c r="C12" s="6">
        <v>279</v>
      </c>
      <c r="D12" s="78">
        <v>0</v>
      </c>
      <c r="E12" s="6">
        <v>0</v>
      </c>
      <c r="F12" s="91">
        <v>35</v>
      </c>
      <c r="G12" s="136">
        <v>36.65</v>
      </c>
      <c r="H12" s="78">
        <f t="shared" si="7"/>
        <v>308.2</v>
      </c>
      <c r="I12" s="150">
        <f>C12+E12+G12</f>
        <v>315.64999999999998</v>
      </c>
      <c r="J12" s="78">
        <v>0</v>
      </c>
      <c r="K12" s="135">
        <v>364.2</v>
      </c>
      <c r="L12" s="78">
        <v>216.8</v>
      </c>
      <c r="M12" s="125">
        <v>-57</v>
      </c>
      <c r="N12" s="74">
        <v>0</v>
      </c>
      <c r="O12" s="135">
        <v>1.22</v>
      </c>
      <c r="P12" s="91">
        <v>0</v>
      </c>
      <c r="Q12" s="135">
        <v>0.08</v>
      </c>
      <c r="R12" s="91">
        <v>0</v>
      </c>
      <c r="S12" s="135">
        <v>0.14000000000000001</v>
      </c>
      <c r="T12" s="91">
        <v>0</v>
      </c>
      <c r="U12" s="135">
        <v>0.67</v>
      </c>
      <c r="V12" s="91">
        <v>0</v>
      </c>
      <c r="W12" s="135">
        <v>0.1</v>
      </c>
      <c r="X12" s="91">
        <f t="shared" si="9"/>
        <v>0</v>
      </c>
      <c r="Y12" s="131">
        <f t="shared" si="10"/>
        <v>2.21</v>
      </c>
      <c r="Z12" s="74">
        <v>0</v>
      </c>
      <c r="AA12" s="135">
        <v>0</v>
      </c>
      <c r="AB12" s="91">
        <v>0</v>
      </c>
      <c r="AC12" s="161">
        <v>0</v>
      </c>
      <c r="AD12" s="156">
        <v>15</v>
      </c>
      <c r="AE12" s="135">
        <v>5.9</v>
      </c>
      <c r="AF12" s="91">
        <f t="shared" si="11"/>
        <v>15</v>
      </c>
      <c r="AG12" s="131">
        <f t="shared" si="12"/>
        <v>5.9</v>
      </c>
      <c r="AH12" s="74">
        <f t="shared" si="13"/>
        <v>231.8</v>
      </c>
      <c r="AI12" s="94">
        <f t="shared" si="14"/>
        <v>254.98000000000005</v>
      </c>
      <c r="AJ12" s="121">
        <f t="shared" ref="AJ12:AJ28" si="19">M12+Y12+AG12</f>
        <v>-48.89</v>
      </c>
      <c r="AK12" s="12"/>
      <c r="AL12" s="11">
        <v>2017</v>
      </c>
      <c r="AM12" s="194">
        <v>96.832181758530183</v>
      </c>
      <c r="AN12" s="67">
        <v>1</v>
      </c>
      <c r="AO12" s="60">
        <v>1</v>
      </c>
      <c r="AP12" s="78">
        <f t="shared" si="3"/>
        <v>96.832181758530183</v>
      </c>
      <c r="AQ12" s="193">
        <f t="shared" si="15"/>
        <v>96.832181758530183</v>
      </c>
      <c r="AR12" s="107">
        <v>102.72637795275591</v>
      </c>
      <c r="AS12" s="67">
        <v>1</v>
      </c>
      <c r="AT12" s="82">
        <v>1</v>
      </c>
      <c r="AU12" s="113">
        <v>102.72637795275591</v>
      </c>
      <c r="AV12" s="114">
        <f t="shared" si="5"/>
        <v>102.72637795275591</v>
      </c>
      <c r="AW12" s="107">
        <v>2.11</v>
      </c>
      <c r="AX12" s="67">
        <v>1</v>
      </c>
      <c r="AY12" s="82">
        <v>1</v>
      </c>
      <c r="AZ12" s="113">
        <v>2.11</v>
      </c>
      <c r="BA12" s="295">
        <f t="shared" si="16"/>
        <v>2.11</v>
      </c>
      <c r="BB12" s="303">
        <v>0</v>
      </c>
      <c r="BC12" s="295">
        <v>0</v>
      </c>
      <c r="BD12" s="120">
        <f t="shared" si="17"/>
        <v>201.66855971128609</v>
      </c>
      <c r="BE12" s="121">
        <f>AQ12+AV12+BA12</f>
        <v>201.66855971128609</v>
      </c>
      <c r="BF12" s="7"/>
      <c r="BG12" s="102">
        <v>2017</v>
      </c>
      <c r="BH12" s="120">
        <f>AI12</f>
        <v>254.98000000000005</v>
      </c>
      <c r="BI12" s="121">
        <f>AJ12</f>
        <v>-48.89</v>
      </c>
      <c r="BJ12" s="120">
        <f t="shared" si="18"/>
        <v>201.66855971128609</v>
      </c>
      <c r="BK12" s="125">
        <f t="shared" si="6"/>
        <v>201.66855971128609</v>
      </c>
      <c r="BL12" s="120">
        <f>BJ12-BH12</f>
        <v>-53.311440288713953</v>
      </c>
      <c r="BM12" s="121">
        <f t="shared" si="4"/>
        <v>250.55855971128608</v>
      </c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</row>
    <row r="13" spans="1:97" s="1" customFormat="1" ht="12.75" customHeight="1">
      <c r="A13" s="25">
        <v>2018</v>
      </c>
      <c r="B13" s="86">
        <v>368.24</v>
      </c>
      <c r="C13" s="47">
        <v>320</v>
      </c>
      <c r="D13" s="77">
        <v>0</v>
      </c>
      <c r="E13" s="5">
        <v>0</v>
      </c>
      <c r="F13" s="90">
        <v>27</v>
      </c>
      <c r="G13" s="47">
        <v>9.31</v>
      </c>
      <c r="H13" s="89">
        <f t="shared" si="7"/>
        <v>395.24</v>
      </c>
      <c r="I13" s="149">
        <f>C13+E13+G13</f>
        <v>329.31</v>
      </c>
      <c r="J13" s="169">
        <v>425</v>
      </c>
      <c r="K13" s="47">
        <v>345.1</v>
      </c>
      <c r="L13" s="89">
        <f>220.8+M12</f>
        <v>163.80000000000001</v>
      </c>
      <c r="M13" s="119">
        <f>80.2+M12</f>
        <v>23.200000000000003</v>
      </c>
      <c r="N13" s="73">
        <v>0</v>
      </c>
      <c r="O13" s="186">
        <v>1.22</v>
      </c>
      <c r="P13" s="90">
        <v>0</v>
      </c>
      <c r="Q13" s="186">
        <v>0.04</v>
      </c>
      <c r="R13" s="90">
        <v>0</v>
      </c>
      <c r="S13" s="186">
        <v>0.09</v>
      </c>
      <c r="T13" s="90">
        <v>0</v>
      </c>
      <c r="U13" s="186">
        <v>0.67</v>
      </c>
      <c r="V13" s="90">
        <v>0</v>
      </c>
      <c r="W13" s="186">
        <v>0.1</v>
      </c>
      <c r="X13" s="90">
        <f t="shared" si="9"/>
        <v>0</v>
      </c>
      <c r="Y13" s="130">
        <f>O13+Q13+S13+U13+W13</f>
        <v>2.12</v>
      </c>
      <c r="Z13" s="73">
        <v>0</v>
      </c>
      <c r="AA13" s="47">
        <v>0</v>
      </c>
      <c r="AB13" s="90">
        <v>0</v>
      </c>
      <c r="AC13" s="160">
        <v>0</v>
      </c>
      <c r="AD13" s="155">
        <v>0</v>
      </c>
      <c r="AE13" s="47">
        <v>26.91</v>
      </c>
      <c r="AF13" s="90">
        <f t="shared" si="11"/>
        <v>0</v>
      </c>
      <c r="AG13" s="130">
        <f t="shared" si="12"/>
        <v>26.91</v>
      </c>
      <c r="AH13" s="73">
        <f>L13+X13+AF13</f>
        <v>163.80000000000001</v>
      </c>
      <c r="AI13" s="93">
        <f t="shared" si="14"/>
        <v>180.18000000000004</v>
      </c>
      <c r="AJ13" s="119">
        <f>M13+Y13+AG13</f>
        <v>52.230000000000004</v>
      </c>
      <c r="AK13" s="12"/>
      <c r="AL13" s="10">
        <v>2018</v>
      </c>
      <c r="AM13" s="86">
        <v>96.832181758530183</v>
      </c>
      <c r="AN13" s="66">
        <v>1</v>
      </c>
      <c r="AO13" s="59">
        <v>1</v>
      </c>
      <c r="AP13" s="89">
        <f t="shared" si="3"/>
        <v>96.832181758530183</v>
      </c>
      <c r="AQ13" s="192">
        <f>AM13*AO13</f>
        <v>96.832181758530183</v>
      </c>
      <c r="AR13" s="73">
        <v>102.72637795275591</v>
      </c>
      <c r="AS13" s="84">
        <v>1</v>
      </c>
      <c r="AT13" s="42">
        <v>1</v>
      </c>
      <c r="AU13" s="111">
        <v>102.72637795275591</v>
      </c>
      <c r="AV13" s="112">
        <f t="shared" si="5"/>
        <v>102.72637795275591</v>
      </c>
      <c r="AW13" s="73">
        <v>2.11</v>
      </c>
      <c r="AX13" s="84">
        <v>1</v>
      </c>
      <c r="AY13" s="42">
        <v>1</v>
      </c>
      <c r="AZ13" s="111">
        <v>2.11</v>
      </c>
      <c r="BA13" s="119">
        <f t="shared" si="16"/>
        <v>2.11</v>
      </c>
      <c r="BB13" s="302">
        <v>0</v>
      </c>
      <c r="BC13" s="119">
        <v>0</v>
      </c>
      <c r="BD13" s="118">
        <f t="shared" si="17"/>
        <v>201.66855971128609</v>
      </c>
      <c r="BE13" s="119">
        <f>AQ13+AV13+BA13</f>
        <v>201.66855971128609</v>
      </c>
      <c r="BF13" s="7"/>
      <c r="BG13" s="101">
        <v>2018</v>
      </c>
      <c r="BH13" s="312">
        <f>AI13</f>
        <v>180.18000000000004</v>
      </c>
      <c r="BI13" s="119">
        <f>AJ13</f>
        <v>52.230000000000004</v>
      </c>
      <c r="BJ13" s="118">
        <f t="shared" si="18"/>
        <v>201.66855971128609</v>
      </c>
      <c r="BK13" s="119">
        <f t="shared" si="6"/>
        <v>201.66855971128609</v>
      </c>
      <c r="BL13" s="312">
        <f>BJ13-BH13</f>
        <v>21.488559711286058</v>
      </c>
      <c r="BM13" s="119">
        <f t="shared" si="4"/>
        <v>149.43855971128608</v>
      </c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</row>
    <row r="14" spans="1:97" s="1" customFormat="1" ht="12.75" customHeight="1">
      <c r="A14" s="26">
        <v>2019</v>
      </c>
      <c r="B14" s="87">
        <v>0</v>
      </c>
      <c r="C14" s="6">
        <v>0</v>
      </c>
      <c r="D14" s="78">
        <v>495.69</v>
      </c>
      <c r="E14" s="6">
        <v>160.4</v>
      </c>
      <c r="F14" s="91">
        <v>27</v>
      </c>
      <c r="G14" s="136">
        <v>27.3</v>
      </c>
      <c r="H14" s="78">
        <f>B14+D14+F14</f>
        <v>522.69000000000005</v>
      </c>
      <c r="I14" s="150">
        <f t="shared" si="8"/>
        <v>187.70000000000002</v>
      </c>
      <c r="J14" s="78">
        <v>323</v>
      </c>
      <c r="K14" s="135">
        <v>207.3</v>
      </c>
      <c r="L14" s="78">
        <v>228.5</v>
      </c>
      <c r="M14" s="125">
        <v>10.1</v>
      </c>
      <c r="N14" s="74">
        <v>0</v>
      </c>
      <c r="O14" s="135">
        <v>1.27</v>
      </c>
      <c r="P14" s="91">
        <v>0</v>
      </c>
      <c r="Q14" s="135">
        <v>0.05</v>
      </c>
      <c r="R14" s="91">
        <v>0</v>
      </c>
      <c r="S14" s="135">
        <v>0.13</v>
      </c>
      <c r="T14" s="91">
        <v>0</v>
      </c>
      <c r="U14" s="135">
        <v>1.05</v>
      </c>
      <c r="V14" s="91">
        <v>0</v>
      </c>
      <c r="W14" s="135">
        <v>0.15</v>
      </c>
      <c r="X14" s="91">
        <f t="shared" si="9"/>
        <v>0</v>
      </c>
      <c r="Y14" s="131">
        <f t="shared" si="10"/>
        <v>2.65</v>
      </c>
      <c r="Z14" s="74">
        <v>0</v>
      </c>
      <c r="AA14" s="135">
        <v>0</v>
      </c>
      <c r="AB14" s="91">
        <v>0</v>
      </c>
      <c r="AC14" s="161">
        <v>0</v>
      </c>
      <c r="AD14" s="156">
        <v>0</v>
      </c>
      <c r="AE14" s="135">
        <v>56.06</v>
      </c>
      <c r="AF14" s="91">
        <f t="shared" si="11"/>
        <v>0</v>
      </c>
      <c r="AG14" s="131">
        <f t="shared" si="12"/>
        <v>56.06</v>
      </c>
      <c r="AH14" s="74">
        <f>L14+X14+AF14</f>
        <v>228.5</v>
      </c>
      <c r="AI14" s="94">
        <f>AH14*1.1</f>
        <v>251.35000000000002</v>
      </c>
      <c r="AJ14" s="121">
        <f>M14+Y14+AG14</f>
        <v>68.81</v>
      </c>
      <c r="AK14" s="12"/>
      <c r="AL14" s="11">
        <v>2019</v>
      </c>
      <c r="AM14" s="194">
        <v>96.832181758530183</v>
      </c>
      <c r="AN14" s="67">
        <v>1</v>
      </c>
      <c r="AO14" s="60">
        <v>1</v>
      </c>
      <c r="AP14" s="78">
        <f>AM14*AN14</f>
        <v>96.832181758530183</v>
      </c>
      <c r="AQ14" s="193">
        <f>AM14*AO14</f>
        <v>96.832181758530183</v>
      </c>
      <c r="AR14" s="107">
        <v>102.72637795275591</v>
      </c>
      <c r="AS14" s="67">
        <v>1</v>
      </c>
      <c r="AT14" s="82">
        <v>1</v>
      </c>
      <c r="AU14" s="113">
        <v>102.72637795275591</v>
      </c>
      <c r="AV14" s="114">
        <f t="shared" si="5"/>
        <v>102.72637795275591</v>
      </c>
      <c r="AW14" s="107">
        <v>2.11</v>
      </c>
      <c r="AX14" s="67">
        <v>1</v>
      </c>
      <c r="AY14" s="82">
        <v>1</v>
      </c>
      <c r="AZ14" s="113">
        <v>2.11</v>
      </c>
      <c r="BA14" s="295">
        <f t="shared" si="16"/>
        <v>2.11</v>
      </c>
      <c r="BB14" s="303">
        <v>49.68</v>
      </c>
      <c r="BC14" s="295">
        <v>49.74</v>
      </c>
      <c r="BD14" s="120">
        <f t="shared" si="17"/>
        <v>251.3485597112861</v>
      </c>
      <c r="BE14" s="121">
        <f>AQ14+AV14+BA14</f>
        <v>201.66855971128609</v>
      </c>
      <c r="BF14" s="7"/>
      <c r="BG14" s="102">
        <v>2019</v>
      </c>
      <c r="BH14" s="120">
        <f>AI14</f>
        <v>251.35000000000002</v>
      </c>
      <c r="BI14" s="121">
        <f>AJ14</f>
        <v>68.81</v>
      </c>
      <c r="BJ14" s="120">
        <f t="shared" si="18"/>
        <v>251.3485597112861</v>
      </c>
      <c r="BK14" s="125">
        <f t="shared" si="6"/>
        <v>201.66855971128609</v>
      </c>
      <c r="BL14" s="120">
        <f>BJ14-BH14</f>
        <v>-1.440288713922655E-3</v>
      </c>
      <c r="BM14" s="121">
        <f>BK14-BI14</f>
        <v>132.85855971128609</v>
      </c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</row>
    <row r="15" spans="1:97" s="1" customFormat="1" ht="12.75" customHeight="1">
      <c r="A15" s="25">
        <v>2020</v>
      </c>
      <c r="B15" s="88">
        <v>0</v>
      </c>
      <c r="C15" s="5"/>
      <c r="D15" s="77">
        <v>33.049999999999997</v>
      </c>
      <c r="E15" s="5"/>
      <c r="F15" s="90">
        <v>27</v>
      </c>
      <c r="G15" s="134"/>
      <c r="H15" s="89">
        <f t="shared" si="7"/>
        <v>60.05</v>
      </c>
      <c r="I15" s="149">
        <f t="shared" si="8"/>
        <v>0</v>
      </c>
      <c r="J15" s="169">
        <v>33.049999999999997</v>
      </c>
      <c r="K15" s="47"/>
      <c r="L15" s="89">
        <v>10.7</v>
      </c>
      <c r="M15" s="119">
        <v>0</v>
      </c>
      <c r="N15" s="73">
        <v>0</v>
      </c>
      <c r="O15" s="47"/>
      <c r="P15" s="90">
        <v>0</v>
      </c>
      <c r="Q15" s="47"/>
      <c r="R15" s="90">
        <v>0</v>
      </c>
      <c r="S15" s="47"/>
      <c r="T15" s="90">
        <v>0</v>
      </c>
      <c r="U15" s="47"/>
      <c r="V15" s="90">
        <v>0</v>
      </c>
      <c r="W15" s="47"/>
      <c r="X15" s="90">
        <f t="shared" si="9"/>
        <v>0</v>
      </c>
      <c r="Y15" s="130">
        <f t="shared" si="10"/>
        <v>0</v>
      </c>
      <c r="Z15" s="73">
        <v>0</v>
      </c>
      <c r="AA15" s="47"/>
      <c r="AB15" s="90">
        <v>0</v>
      </c>
      <c r="AC15" s="160"/>
      <c r="AD15" s="155">
        <v>0</v>
      </c>
      <c r="AE15" s="47"/>
      <c r="AF15" s="90">
        <f t="shared" si="11"/>
        <v>0</v>
      </c>
      <c r="AG15" s="130">
        <f t="shared" si="12"/>
        <v>0</v>
      </c>
      <c r="AH15" s="73">
        <f t="shared" si="13"/>
        <v>10.7</v>
      </c>
      <c r="AI15" s="93">
        <f t="shared" si="14"/>
        <v>11.77</v>
      </c>
      <c r="AJ15" s="119">
        <f t="shared" si="19"/>
        <v>0</v>
      </c>
      <c r="AK15" s="12"/>
      <c r="AL15" s="10">
        <v>2020</v>
      </c>
      <c r="AM15" s="86">
        <v>96.832181758530183</v>
      </c>
      <c r="AN15" s="66">
        <v>1</v>
      </c>
      <c r="AO15" s="59"/>
      <c r="AP15" s="89">
        <f t="shared" si="3"/>
        <v>96.832181758530183</v>
      </c>
      <c r="AQ15" s="62">
        <f t="shared" si="15"/>
        <v>0</v>
      </c>
      <c r="AR15" s="73">
        <v>102.72637795275591</v>
      </c>
      <c r="AS15" s="84">
        <v>1</v>
      </c>
      <c r="AT15" s="42"/>
      <c r="AU15" s="111">
        <v>102.72637795275591</v>
      </c>
      <c r="AV15" s="112">
        <f t="shared" si="5"/>
        <v>0</v>
      </c>
      <c r="AW15" s="73">
        <v>2.11</v>
      </c>
      <c r="AX15" s="84">
        <v>1</v>
      </c>
      <c r="AY15" s="42"/>
      <c r="AZ15" s="111">
        <v>2.11</v>
      </c>
      <c r="BA15" s="119">
        <f t="shared" si="16"/>
        <v>0</v>
      </c>
      <c r="BB15" s="302">
        <v>0</v>
      </c>
      <c r="BC15" s="119">
        <v>0</v>
      </c>
      <c r="BD15" s="118">
        <f t="shared" si="17"/>
        <v>201.66855971128609</v>
      </c>
      <c r="BE15" s="119">
        <f>AQ15+AV15+BA15</f>
        <v>0</v>
      </c>
      <c r="BF15" s="7"/>
      <c r="BG15" s="101">
        <v>2020</v>
      </c>
      <c r="BH15" s="312">
        <f>AI15</f>
        <v>11.77</v>
      </c>
      <c r="BI15" s="119"/>
      <c r="BJ15" s="118">
        <f t="shared" si="18"/>
        <v>201.66855971128609</v>
      </c>
      <c r="BK15" s="119"/>
      <c r="BL15" s="312">
        <f>BJ15-BH15</f>
        <v>189.89855971128608</v>
      </c>
      <c r="BM15" s="119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</row>
    <row r="16" spans="1:97" s="1" customFormat="1" ht="12.75" customHeight="1">
      <c r="A16" s="26">
        <v>2021</v>
      </c>
      <c r="B16" s="87">
        <v>0</v>
      </c>
      <c r="C16" s="6"/>
      <c r="D16" s="78">
        <v>27</v>
      </c>
      <c r="E16" s="6"/>
      <c r="F16" s="91">
        <v>0</v>
      </c>
      <c r="G16" s="136"/>
      <c r="H16" s="78">
        <f t="shared" si="7"/>
        <v>27</v>
      </c>
      <c r="I16" s="150">
        <f t="shared" si="8"/>
        <v>0</v>
      </c>
      <c r="J16" s="78">
        <v>0</v>
      </c>
      <c r="K16" s="135"/>
      <c r="L16" s="78">
        <v>0</v>
      </c>
      <c r="M16" s="125">
        <v>0</v>
      </c>
      <c r="N16" s="74">
        <v>0</v>
      </c>
      <c r="O16" s="135"/>
      <c r="P16" s="91">
        <v>0</v>
      </c>
      <c r="Q16" s="135"/>
      <c r="R16" s="91">
        <v>0</v>
      </c>
      <c r="S16" s="135"/>
      <c r="T16" s="91">
        <v>0</v>
      </c>
      <c r="U16" s="135"/>
      <c r="V16" s="91">
        <v>0</v>
      </c>
      <c r="W16" s="135"/>
      <c r="X16" s="91">
        <f t="shared" si="9"/>
        <v>0</v>
      </c>
      <c r="Y16" s="131">
        <f t="shared" si="10"/>
        <v>0</v>
      </c>
      <c r="Z16" s="74">
        <v>0</v>
      </c>
      <c r="AA16" s="135"/>
      <c r="AB16" s="91">
        <v>0</v>
      </c>
      <c r="AC16" s="161"/>
      <c r="AD16" s="156">
        <v>0</v>
      </c>
      <c r="AE16" s="135"/>
      <c r="AF16" s="91">
        <f t="shared" si="11"/>
        <v>0</v>
      </c>
      <c r="AG16" s="131">
        <f t="shared" si="12"/>
        <v>0</v>
      </c>
      <c r="AH16" s="74">
        <f t="shared" si="13"/>
        <v>0</v>
      </c>
      <c r="AI16" s="94">
        <f t="shared" si="14"/>
        <v>0</v>
      </c>
      <c r="AJ16" s="121">
        <f t="shared" si="19"/>
        <v>0</v>
      </c>
      <c r="AK16" s="12"/>
      <c r="AL16" s="11">
        <v>2021</v>
      </c>
      <c r="AM16" s="194">
        <v>96.832181758530183</v>
      </c>
      <c r="AN16" s="67"/>
      <c r="AO16" s="60"/>
      <c r="AP16" s="70">
        <f t="shared" si="3"/>
        <v>0</v>
      </c>
      <c r="AQ16" s="63">
        <f t="shared" si="15"/>
        <v>0</v>
      </c>
      <c r="AR16" s="107">
        <v>102.72637795275591</v>
      </c>
      <c r="AS16" s="67"/>
      <c r="AT16" s="82"/>
      <c r="AU16" s="113">
        <f t="shared" ref="AU16:AU28" si="20">AR16*AS16</f>
        <v>0</v>
      </c>
      <c r="AV16" s="114">
        <f t="shared" si="5"/>
        <v>0</v>
      </c>
      <c r="AW16" s="107">
        <v>2.11</v>
      </c>
      <c r="AX16" s="67"/>
      <c r="AY16" s="82"/>
      <c r="AZ16" s="113">
        <f t="shared" ref="AZ16:AZ27" si="21">AW16*AX16</f>
        <v>0</v>
      </c>
      <c r="BA16" s="295">
        <f t="shared" si="16"/>
        <v>0</v>
      </c>
      <c r="BB16" s="303">
        <v>0</v>
      </c>
      <c r="BC16" s="295">
        <v>0</v>
      </c>
      <c r="BD16" s="120">
        <f t="shared" si="17"/>
        <v>0</v>
      </c>
      <c r="BE16" s="121">
        <f>AQ16+AV16+BA16</f>
        <v>0</v>
      </c>
      <c r="BF16" s="7"/>
      <c r="BG16" s="102">
        <v>2021</v>
      </c>
      <c r="BH16" s="120"/>
      <c r="BI16" s="121"/>
      <c r="BJ16" s="120"/>
      <c r="BK16" s="125"/>
      <c r="BL16" s="120"/>
      <c r="BM16" s="121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</row>
    <row r="17" spans="1:97" s="1" customFormat="1" ht="12.75" customHeight="1">
      <c r="A17" s="25">
        <v>2022</v>
      </c>
      <c r="B17" s="88">
        <v>0</v>
      </c>
      <c r="C17" s="5"/>
      <c r="D17" s="77">
        <v>0</v>
      </c>
      <c r="E17" s="5"/>
      <c r="F17" s="90">
        <v>0</v>
      </c>
      <c r="G17" s="134"/>
      <c r="H17" s="89">
        <f t="shared" si="7"/>
        <v>0</v>
      </c>
      <c r="I17" s="149">
        <f t="shared" si="8"/>
        <v>0</v>
      </c>
      <c r="J17" s="169">
        <v>0</v>
      </c>
      <c r="K17" s="47"/>
      <c r="L17" s="89">
        <v>0</v>
      </c>
      <c r="M17" s="119">
        <v>0</v>
      </c>
      <c r="N17" s="73">
        <v>0</v>
      </c>
      <c r="O17" s="47"/>
      <c r="P17" s="90">
        <v>0</v>
      </c>
      <c r="Q17" s="47"/>
      <c r="R17" s="90">
        <v>0</v>
      </c>
      <c r="S17" s="47"/>
      <c r="T17" s="90">
        <v>0</v>
      </c>
      <c r="U17" s="47"/>
      <c r="V17" s="90">
        <v>0</v>
      </c>
      <c r="W17" s="47"/>
      <c r="X17" s="90">
        <f t="shared" si="9"/>
        <v>0</v>
      </c>
      <c r="Y17" s="130">
        <f t="shared" si="10"/>
        <v>0</v>
      </c>
      <c r="Z17" s="73">
        <v>0</v>
      </c>
      <c r="AA17" s="47"/>
      <c r="AB17" s="90">
        <v>0</v>
      </c>
      <c r="AC17" s="160"/>
      <c r="AD17" s="155">
        <v>0</v>
      </c>
      <c r="AE17" s="47"/>
      <c r="AF17" s="90">
        <f t="shared" si="11"/>
        <v>0</v>
      </c>
      <c r="AG17" s="130">
        <f t="shared" si="12"/>
        <v>0</v>
      </c>
      <c r="AH17" s="73">
        <f t="shared" si="13"/>
        <v>0</v>
      </c>
      <c r="AI17" s="93">
        <f t="shared" si="14"/>
        <v>0</v>
      </c>
      <c r="AJ17" s="119">
        <f t="shared" si="19"/>
        <v>0</v>
      </c>
      <c r="AK17" s="12"/>
      <c r="AL17" s="10">
        <v>2022</v>
      </c>
      <c r="AM17" s="86">
        <v>96.832181758530183</v>
      </c>
      <c r="AN17" s="66"/>
      <c r="AO17" s="59"/>
      <c r="AP17" s="69">
        <f t="shared" si="3"/>
        <v>0</v>
      </c>
      <c r="AQ17" s="62">
        <f t="shared" si="15"/>
        <v>0</v>
      </c>
      <c r="AR17" s="73">
        <v>102.72637795275591</v>
      </c>
      <c r="AS17" s="84"/>
      <c r="AT17" s="42"/>
      <c r="AU17" s="111">
        <f t="shared" si="20"/>
        <v>0</v>
      </c>
      <c r="AV17" s="112">
        <f t="shared" si="5"/>
        <v>0</v>
      </c>
      <c r="AW17" s="73">
        <v>2.11</v>
      </c>
      <c r="AX17" s="84"/>
      <c r="AY17" s="42"/>
      <c r="AZ17" s="111">
        <f t="shared" si="21"/>
        <v>0</v>
      </c>
      <c r="BA17" s="119">
        <f t="shared" si="16"/>
        <v>0</v>
      </c>
      <c r="BB17" s="302">
        <v>0</v>
      </c>
      <c r="BC17" s="119">
        <v>0</v>
      </c>
      <c r="BD17" s="118">
        <f t="shared" si="17"/>
        <v>0</v>
      </c>
      <c r="BE17" s="119">
        <f>AQ17+AV17+BA17</f>
        <v>0</v>
      </c>
      <c r="BF17" s="7"/>
      <c r="BG17" s="101">
        <v>2022</v>
      </c>
      <c r="BH17" s="312"/>
      <c r="BI17" s="119"/>
      <c r="BJ17" s="118"/>
      <c r="BK17" s="119"/>
      <c r="BL17" s="312"/>
      <c r="BM17" s="119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</row>
    <row r="18" spans="1:97" s="1" customFormat="1" ht="12.75" customHeight="1">
      <c r="A18" s="26">
        <v>2023</v>
      </c>
      <c r="B18" s="87">
        <v>0</v>
      </c>
      <c r="C18" s="6"/>
      <c r="D18" s="78">
        <v>0</v>
      </c>
      <c r="E18" s="6"/>
      <c r="F18" s="91">
        <v>0</v>
      </c>
      <c r="G18" s="136"/>
      <c r="H18" s="78">
        <f t="shared" si="7"/>
        <v>0</v>
      </c>
      <c r="I18" s="150">
        <f t="shared" si="8"/>
        <v>0</v>
      </c>
      <c r="J18" s="78">
        <v>0</v>
      </c>
      <c r="K18" s="135"/>
      <c r="L18" s="78">
        <v>0</v>
      </c>
      <c r="M18" s="125">
        <v>0</v>
      </c>
      <c r="N18" s="74">
        <v>0</v>
      </c>
      <c r="O18" s="135"/>
      <c r="P18" s="91">
        <v>0</v>
      </c>
      <c r="Q18" s="135"/>
      <c r="R18" s="91">
        <v>0</v>
      </c>
      <c r="S18" s="135"/>
      <c r="T18" s="91">
        <v>0</v>
      </c>
      <c r="U18" s="135"/>
      <c r="V18" s="91">
        <v>0</v>
      </c>
      <c r="W18" s="135"/>
      <c r="X18" s="91">
        <f t="shared" si="9"/>
        <v>0</v>
      </c>
      <c r="Y18" s="131">
        <f t="shared" si="10"/>
        <v>0</v>
      </c>
      <c r="Z18" s="74">
        <v>0</v>
      </c>
      <c r="AA18" s="135"/>
      <c r="AB18" s="91">
        <v>0</v>
      </c>
      <c r="AC18" s="161"/>
      <c r="AD18" s="156">
        <v>0</v>
      </c>
      <c r="AE18" s="135"/>
      <c r="AF18" s="91">
        <f t="shared" si="11"/>
        <v>0</v>
      </c>
      <c r="AG18" s="131">
        <f t="shared" si="12"/>
        <v>0</v>
      </c>
      <c r="AH18" s="74">
        <f t="shared" si="13"/>
        <v>0</v>
      </c>
      <c r="AI18" s="94">
        <f t="shared" si="14"/>
        <v>0</v>
      </c>
      <c r="AJ18" s="121">
        <f t="shared" si="19"/>
        <v>0</v>
      </c>
      <c r="AK18" s="12"/>
      <c r="AL18" s="11">
        <v>2023</v>
      </c>
      <c r="AM18" s="194">
        <v>96.832181758530183</v>
      </c>
      <c r="AN18" s="67"/>
      <c r="AO18" s="60"/>
      <c r="AP18" s="70">
        <f t="shared" si="3"/>
        <v>0</v>
      </c>
      <c r="AQ18" s="63">
        <f t="shared" si="15"/>
        <v>0</v>
      </c>
      <c r="AR18" s="107">
        <v>102.72637795275591</v>
      </c>
      <c r="AS18" s="67"/>
      <c r="AT18" s="82"/>
      <c r="AU18" s="113">
        <f t="shared" si="20"/>
        <v>0</v>
      </c>
      <c r="AV18" s="114">
        <f t="shared" si="5"/>
        <v>0</v>
      </c>
      <c r="AW18" s="107">
        <v>2.11</v>
      </c>
      <c r="AX18" s="67"/>
      <c r="AY18" s="82"/>
      <c r="AZ18" s="113">
        <f t="shared" si="21"/>
        <v>0</v>
      </c>
      <c r="BA18" s="295">
        <f t="shared" si="16"/>
        <v>0</v>
      </c>
      <c r="BB18" s="303">
        <v>0</v>
      </c>
      <c r="BC18" s="295">
        <v>0</v>
      </c>
      <c r="BD18" s="120">
        <f t="shared" si="17"/>
        <v>0</v>
      </c>
      <c r="BE18" s="121">
        <f>AQ18+AV18+BA18</f>
        <v>0</v>
      </c>
      <c r="BF18" s="7"/>
      <c r="BG18" s="102">
        <v>2023</v>
      </c>
      <c r="BH18" s="120"/>
      <c r="BI18" s="121"/>
      <c r="BJ18" s="120"/>
      <c r="BK18" s="125"/>
      <c r="BL18" s="120"/>
      <c r="BM18" s="121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</row>
    <row r="19" spans="1:97" s="1" customFormat="1" ht="12.75" customHeight="1">
      <c r="A19" s="25">
        <v>2024</v>
      </c>
      <c r="B19" s="88">
        <v>0</v>
      </c>
      <c r="C19" s="5"/>
      <c r="D19" s="77">
        <v>0</v>
      </c>
      <c r="E19" s="5"/>
      <c r="F19" s="90">
        <v>0</v>
      </c>
      <c r="G19" s="134"/>
      <c r="H19" s="89">
        <f t="shared" si="7"/>
        <v>0</v>
      </c>
      <c r="I19" s="149">
        <f t="shared" ref="I19:I28" si="22">C19+E19</f>
        <v>0</v>
      </c>
      <c r="J19" s="169">
        <v>0</v>
      </c>
      <c r="K19" s="47"/>
      <c r="L19" s="89">
        <v>0</v>
      </c>
      <c r="M19" s="119">
        <v>0</v>
      </c>
      <c r="N19" s="73">
        <v>0</v>
      </c>
      <c r="O19" s="47"/>
      <c r="P19" s="90">
        <v>0</v>
      </c>
      <c r="Q19" s="47"/>
      <c r="R19" s="90">
        <v>0</v>
      </c>
      <c r="S19" s="47"/>
      <c r="T19" s="90">
        <v>0</v>
      </c>
      <c r="U19" s="47"/>
      <c r="V19" s="90">
        <v>0</v>
      </c>
      <c r="W19" s="47"/>
      <c r="X19" s="90">
        <f t="shared" si="9"/>
        <v>0</v>
      </c>
      <c r="Y19" s="130">
        <f t="shared" si="10"/>
        <v>0</v>
      </c>
      <c r="Z19" s="73">
        <v>0</v>
      </c>
      <c r="AA19" s="47"/>
      <c r="AB19" s="90">
        <v>0</v>
      </c>
      <c r="AC19" s="160"/>
      <c r="AD19" s="155">
        <v>0</v>
      </c>
      <c r="AE19" s="47"/>
      <c r="AF19" s="90">
        <f t="shared" si="11"/>
        <v>0</v>
      </c>
      <c r="AG19" s="130">
        <f t="shared" si="12"/>
        <v>0</v>
      </c>
      <c r="AH19" s="73">
        <f t="shared" si="13"/>
        <v>0</v>
      </c>
      <c r="AI19" s="93">
        <f t="shared" si="14"/>
        <v>0</v>
      </c>
      <c r="AJ19" s="119">
        <f t="shared" si="19"/>
        <v>0</v>
      </c>
      <c r="AK19" s="12"/>
      <c r="AL19" s="10">
        <v>2024</v>
      </c>
      <c r="AM19" s="86">
        <v>96.832181758530183</v>
      </c>
      <c r="AN19" s="66"/>
      <c r="AO19" s="59"/>
      <c r="AP19" s="69">
        <f t="shared" si="3"/>
        <v>0</v>
      </c>
      <c r="AQ19" s="62">
        <f t="shared" si="15"/>
        <v>0</v>
      </c>
      <c r="AR19" s="73">
        <v>102.72637795275591</v>
      </c>
      <c r="AS19" s="84"/>
      <c r="AT19" s="42"/>
      <c r="AU19" s="111">
        <f t="shared" si="20"/>
        <v>0</v>
      </c>
      <c r="AV19" s="112">
        <f t="shared" si="5"/>
        <v>0</v>
      </c>
      <c r="AW19" s="73">
        <v>2.11</v>
      </c>
      <c r="AX19" s="84"/>
      <c r="AY19" s="42"/>
      <c r="AZ19" s="111">
        <f t="shared" si="21"/>
        <v>0</v>
      </c>
      <c r="BA19" s="119">
        <f t="shared" si="16"/>
        <v>0</v>
      </c>
      <c r="BB19" s="302">
        <v>0</v>
      </c>
      <c r="BC19" s="119">
        <v>0</v>
      </c>
      <c r="BD19" s="118">
        <f t="shared" si="17"/>
        <v>0</v>
      </c>
      <c r="BE19" s="119">
        <f>AQ19+AV19+BA19</f>
        <v>0</v>
      </c>
      <c r="BF19" s="7"/>
      <c r="BG19" s="101">
        <v>2024</v>
      </c>
      <c r="BH19" s="312"/>
      <c r="BI19" s="119"/>
      <c r="BJ19" s="118"/>
      <c r="BK19" s="119"/>
      <c r="BL19" s="312"/>
      <c r="BM19" s="119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</row>
    <row r="20" spans="1:97" s="1" customFormat="1" ht="12.75" customHeight="1">
      <c r="A20" s="26">
        <v>2025</v>
      </c>
      <c r="B20" s="87">
        <v>0</v>
      </c>
      <c r="C20" s="6"/>
      <c r="D20" s="78">
        <v>0</v>
      </c>
      <c r="E20" s="6"/>
      <c r="F20" s="91">
        <v>0</v>
      </c>
      <c r="G20" s="136"/>
      <c r="H20" s="78">
        <f t="shared" si="7"/>
        <v>0</v>
      </c>
      <c r="I20" s="150">
        <f t="shared" si="22"/>
        <v>0</v>
      </c>
      <c r="J20" s="78">
        <v>0</v>
      </c>
      <c r="K20" s="135"/>
      <c r="L20" s="78">
        <v>0</v>
      </c>
      <c r="M20" s="125">
        <v>0</v>
      </c>
      <c r="N20" s="74">
        <v>0</v>
      </c>
      <c r="O20" s="135"/>
      <c r="P20" s="91">
        <v>0</v>
      </c>
      <c r="Q20" s="135"/>
      <c r="R20" s="91">
        <v>0</v>
      </c>
      <c r="S20" s="135"/>
      <c r="T20" s="91">
        <v>0</v>
      </c>
      <c r="U20" s="135"/>
      <c r="V20" s="91">
        <v>0</v>
      </c>
      <c r="W20" s="135"/>
      <c r="X20" s="91">
        <f t="shared" si="9"/>
        <v>0</v>
      </c>
      <c r="Y20" s="131">
        <f t="shared" si="10"/>
        <v>0</v>
      </c>
      <c r="Z20" s="74">
        <v>0</v>
      </c>
      <c r="AA20" s="135"/>
      <c r="AB20" s="91">
        <v>0</v>
      </c>
      <c r="AC20" s="161"/>
      <c r="AD20" s="156">
        <v>0</v>
      </c>
      <c r="AE20" s="135"/>
      <c r="AF20" s="91">
        <f t="shared" si="11"/>
        <v>0</v>
      </c>
      <c r="AG20" s="131">
        <f t="shared" si="12"/>
        <v>0</v>
      </c>
      <c r="AH20" s="74">
        <f t="shared" si="13"/>
        <v>0</v>
      </c>
      <c r="AI20" s="94">
        <f t="shared" si="14"/>
        <v>0</v>
      </c>
      <c r="AJ20" s="121">
        <f t="shared" si="19"/>
        <v>0</v>
      </c>
      <c r="AK20" s="12"/>
      <c r="AL20" s="11">
        <v>2025</v>
      </c>
      <c r="AM20" s="194">
        <v>96.832181758530183</v>
      </c>
      <c r="AN20" s="67"/>
      <c r="AO20" s="60"/>
      <c r="AP20" s="70">
        <f t="shared" si="3"/>
        <v>0</v>
      </c>
      <c r="AQ20" s="63">
        <f t="shared" si="15"/>
        <v>0</v>
      </c>
      <c r="AR20" s="107">
        <v>102.72637795275591</v>
      </c>
      <c r="AS20" s="67"/>
      <c r="AT20" s="82"/>
      <c r="AU20" s="113">
        <f t="shared" si="20"/>
        <v>0</v>
      </c>
      <c r="AV20" s="114">
        <f t="shared" si="5"/>
        <v>0</v>
      </c>
      <c r="AW20" s="107">
        <v>2.11</v>
      </c>
      <c r="AX20" s="67"/>
      <c r="AY20" s="82"/>
      <c r="AZ20" s="113">
        <f t="shared" si="21"/>
        <v>0</v>
      </c>
      <c r="BA20" s="295">
        <f t="shared" si="16"/>
        <v>0</v>
      </c>
      <c r="BB20" s="303">
        <v>0</v>
      </c>
      <c r="BC20" s="295">
        <v>0</v>
      </c>
      <c r="BD20" s="120">
        <f t="shared" si="17"/>
        <v>0</v>
      </c>
      <c r="BE20" s="121">
        <f>AQ20+AV20+BA20</f>
        <v>0</v>
      </c>
      <c r="BF20" s="7"/>
      <c r="BG20" s="102">
        <v>2025</v>
      </c>
      <c r="BH20" s="120"/>
      <c r="BI20" s="121"/>
      <c r="BJ20" s="120"/>
      <c r="BK20" s="125"/>
      <c r="BL20" s="120"/>
      <c r="BM20" s="121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</row>
    <row r="21" spans="1:97" s="1" customFormat="1" ht="12.75" customHeight="1">
      <c r="A21" s="25">
        <v>2026</v>
      </c>
      <c r="B21" s="88">
        <v>0</v>
      </c>
      <c r="C21" s="5"/>
      <c r="D21" s="77">
        <v>0</v>
      </c>
      <c r="E21" s="5"/>
      <c r="F21" s="90">
        <v>0</v>
      </c>
      <c r="G21" s="134"/>
      <c r="H21" s="89">
        <f t="shared" ref="H21:H28" si="23">B21+D21</f>
        <v>0</v>
      </c>
      <c r="I21" s="149">
        <f t="shared" si="22"/>
        <v>0</v>
      </c>
      <c r="J21" s="169">
        <v>0</v>
      </c>
      <c r="K21" s="47"/>
      <c r="L21" s="89">
        <v>0</v>
      </c>
      <c r="M21" s="119">
        <v>0</v>
      </c>
      <c r="N21" s="73">
        <v>0</v>
      </c>
      <c r="O21" s="47"/>
      <c r="P21" s="90">
        <v>0</v>
      </c>
      <c r="Q21" s="47"/>
      <c r="R21" s="90">
        <v>0</v>
      </c>
      <c r="S21" s="47"/>
      <c r="T21" s="90">
        <v>0</v>
      </c>
      <c r="U21" s="47"/>
      <c r="V21" s="90">
        <v>0</v>
      </c>
      <c r="W21" s="47"/>
      <c r="X21" s="90">
        <f t="shared" si="9"/>
        <v>0</v>
      </c>
      <c r="Y21" s="130">
        <f t="shared" si="10"/>
        <v>0</v>
      </c>
      <c r="Z21" s="73">
        <v>0</v>
      </c>
      <c r="AA21" s="47"/>
      <c r="AB21" s="90">
        <v>0</v>
      </c>
      <c r="AC21" s="160"/>
      <c r="AD21" s="155">
        <v>0</v>
      </c>
      <c r="AE21" s="47"/>
      <c r="AF21" s="90">
        <f t="shared" si="11"/>
        <v>0</v>
      </c>
      <c r="AG21" s="130">
        <f t="shared" si="12"/>
        <v>0</v>
      </c>
      <c r="AH21" s="73">
        <f t="shared" si="13"/>
        <v>0</v>
      </c>
      <c r="AI21" s="93">
        <f t="shared" si="14"/>
        <v>0</v>
      </c>
      <c r="AJ21" s="119">
        <f t="shared" si="19"/>
        <v>0</v>
      </c>
      <c r="AK21" s="12"/>
      <c r="AL21" s="10">
        <v>2026</v>
      </c>
      <c r="AM21" s="86">
        <v>96.832181758530183</v>
      </c>
      <c r="AN21" s="66"/>
      <c r="AO21" s="59"/>
      <c r="AP21" s="69">
        <f t="shared" si="3"/>
        <v>0</v>
      </c>
      <c r="AQ21" s="62">
        <f t="shared" si="15"/>
        <v>0</v>
      </c>
      <c r="AR21" s="73">
        <v>102.72637795275591</v>
      </c>
      <c r="AS21" s="84"/>
      <c r="AT21" s="42"/>
      <c r="AU21" s="111">
        <f t="shared" si="20"/>
        <v>0</v>
      </c>
      <c r="AV21" s="112">
        <f t="shared" si="5"/>
        <v>0</v>
      </c>
      <c r="AW21" s="73">
        <v>2.11</v>
      </c>
      <c r="AX21" s="84"/>
      <c r="AY21" s="42"/>
      <c r="AZ21" s="111">
        <f t="shared" si="21"/>
        <v>0</v>
      </c>
      <c r="BA21" s="119">
        <f t="shared" si="16"/>
        <v>0</v>
      </c>
      <c r="BB21" s="302">
        <v>0</v>
      </c>
      <c r="BC21" s="119">
        <v>0</v>
      </c>
      <c r="BD21" s="118">
        <f t="shared" si="17"/>
        <v>0</v>
      </c>
      <c r="BE21" s="119">
        <f>AQ21+AV21+BA21</f>
        <v>0</v>
      </c>
      <c r="BF21" s="7"/>
      <c r="BG21" s="101">
        <v>2026</v>
      </c>
      <c r="BH21" s="312"/>
      <c r="BI21" s="119"/>
      <c r="BJ21" s="118"/>
      <c r="BK21" s="119"/>
      <c r="BL21" s="312"/>
      <c r="BM21" s="119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</row>
    <row r="22" spans="1:97" s="1" customFormat="1" ht="12.75" customHeight="1">
      <c r="A22" s="26">
        <v>2027</v>
      </c>
      <c r="B22" s="87">
        <v>0</v>
      </c>
      <c r="C22" s="6"/>
      <c r="D22" s="78">
        <v>0</v>
      </c>
      <c r="E22" s="6"/>
      <c r="F22" s="91">
        <v>0</v>
      </c>
      <c r="G22" s="136"/>
      <c r="H22" s="78">
        <f t="shared" si="23"/>
        <v>0</v>
      </c>
      <c r="I22" s="150">
        <f t="shared" si="22"/>
        <v>0</v>
      </c>
      <c r="J22" s="78">
        <v>0</v>
      </c>
      <c r="K22" s="135"/>
      <c r="L22" s="78">
        <v>0</v>
      </c>
      <c r="M22" s="125">
        <v>0</v>
      </c>
      <c r="N22" s="74">
        <v>0</v>
      </c>
      <c r="O22" s="135"/>
      <c r="P22" s="91">
        <v>0</v>
      </c>
      <c r="Q22" s="135"/>
      <c r="R22" s="91">
        <v>0</v>
      </c>
      <c r="S22" s="135"/>
      <c r="T22" s="91">
        <v>0</v>
      </c>
      <c r="U22" s="135"/>
      <c r="V22" s="91">
        <v>0</v>
      </c>
      <c r="W22" s="135"/>
      <c r="X22" s="91">
        <f t="shared" si="9"/>
        <v>0</v>
      </c>
      <c r="Y22" s="131">
        <f t="shared" si="10"/>
        <v>0</v>
      </c>
      <c r="Z22" s="74">
        <v>0</v>
      </c>
      <c r="AA22" s="135"/>
      <c r="AB22" s="91">
        <v>0</v>
      </c>
      <c r="AC22" s="161"/>
      <c r="AD22" s="156">
        <v>0</v>
      </c>
      <c r="AE22" s="135"/>
      <c r="AF22" s="91">
        <f t="shared" si="11"/>
        <v>0</v>
      </c>
      <c r="AG22" s="131">
        <f t="shared" si="12"/>
        <v>0</v>
      </c>
      <c r="AH22" s="74">
        <f t="shared" si="13"/>
        <v>0</v>
      </c>
      <c r="AI22" s="94">
        <f t="shared" si="14"/>
        <v>0</v>
      </c>
      <c r="AJ22" s="121">
        <f t="shared" si="19"/>
        <v>0</v>
      </c>
      <c r="AK22" s="12"/>
      <c r="AL22" s="11">
        <v>2027</v>
      </c>
      <c r="AM22" s="194">
        <v>96.832181758530183</v>
      </c>
      <c r="AN22" s="67"/>
      <c r="AO22" s="60"/>
      <c r="AP22" s="70">
        <f t="shared" si="3"/>
        <v>0</v>
      </c>
      <c r="AQ22" s="63">
        <f t="shared" si="15"/>
        <v>0</v>
      </c>
      <c r="AR22" s="107">
        <v>102.72637795275591</v>
      </c>
      <c r="AS22" s="67"/>
      <c r="AT22" s="82"/>
      <c r="AU22" s="113">
        <f t="shared" si="20"/>
        <v>0</v>
      </c>
      <c r="AV22" s="114">
        <f t="shared" si="5"/>
        <v>0</v>
      </c>
      <c r="AW22" s="107">
        <v>2.11</v>
      </c>
      <c r="AX22" s="67"/>
      <c r="AY22" s="82"/>
      <c r="AZ22" s="113">
        <f t="shared" si="21"/>
        <v>0</v>
      </c>
      <c r="BA22" s="295">
        <f t="shared" si="16"/>
        <v>0</v>
      </c>
      <c r="BB22" s="303">
        <v>0</v>
      </c>
      <c r="BC22" s="295">
        <v>0</v>
      </c>
      <c r="BD22" s="120">
        <f t="shared" si="17"/>
        <v>0</v>
      </c>
      <c r="BE22" s="121">
        <f>AQ22+AV22+BA22</f>
        <v>0</v>
      </c>
      <c r="BF22" s="7"/>
      <c r="BG22" s="102">
        <v>2027</v>
      </c>
      <c r="BH22" s="120"/>
      <c r="BI22" s="121"/>
      <c r="BJ22" s="120"/>
      <c r="BK22" s="125"/>
      <c r="BL22" s="120"/>
      <c r="BM22" s="121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</row>
    <row r="23" spans="1:97" s="1" customFormat="1" ht="12.75" customHeight="1">
      <c r="A23" s="25">
        <v>2028</v>
      </c>
      <c r="B23" s="88">
        <v>0</v>
      </c>
      <c r="C23" s="5"/>
      <c r="D23" s="77">
        <v>0</v>
      </c>
      <c r="E23" s="5"/>
      <c r="F23" s="90">
        <v>0</v>
      </c>
      <c r="G23" s="134"/>
      <c r="H23" s="89">
        <f t="shared" si="23"/>
        <v>0</v>
      </c>
      <c r="I23" s="149">
        <f t="shared" si="22"/>
        <v>0</v>
      </c>
      <c r="J23" s="169">
        <v>0</v>
      </c>
      <c r="K23" s="47"/>
      <c r="L23" s="89">
        <v>0</v>
      </c>
      <c r="M23" s="119">
        <v>0</v>
      </c>
      <c r="N23" s="73">
        <v>0</v>
      </c>
      <c r="O23" s="47"/>
      <c r="P23" s="90">
        <v>0</v>
      </c>
      <c r="Q23" s="47"/>
      <c r="R23" s="90">
        <v>0</v>
      </c>
      <c r="S23" s="47"/>
      <c r="T23" s="90">
        <v>0</v>
      </c>
      <c r="U23" s="47"/>
      <c r="V23" s="90">
        <v>0</v>
      </c>
      <c r="W23" s="47"/>
      <c r="X23" s="90">
        <f t="shared" si="9"/>
        <v>0</v>
      </c>
      <c r="Y23" s="130">
        <f t="shared" si="10"/>
        <v>0</v>
      </c>
      <c r="Z23" s="73">
        <v>0</v>
      </c>
      <c r="AA23" s="47"/>
      <c r="AB23" s="90">
        <v>0</v>
      </c>
      <c r="AC23" s="160"/>
      <c r="AD23" s="155">
        <v>0</v>
      </c>
      <c r="AE23" s="47"/>
      <c r="AF23" s="90">
        <f t="shared" si="11"/>
        <v>0</v>
      </c>
      <c r="AG23" s="130">
        <f t="shared" si="12"/>
        <v>0</v>
      </c>
      <c r="AH23" s="73">
        <f t="shared" si="13"/>
        <v>0</v>
      </c>
      <c r="AI23" s="93">
        <f t="shared" si="14"/>
        <v>0</v>
      </c>
      <c r="AJ23" s="119">
        <f t="shared" si="19"/>
        <v>0</v>
      </c>
      <c r="AK23" s="12"/>
      <c r="AL23" s="10">
        <v>2028</v>
      </c>
      <c r="AM23" s="86">
        <v>96.832181758530183</v>
      </c>
      <c r="AN23" s="66"/>
      <c r="AO23" s="59"/>
      <c r="AP23" s="69">
        <f t="shared" si="3"/>
        <v>0</v>
      </c>
      <c r="AQ23" s="62">
        <f t="shared" si="15"/>
        <v>0</v>
      </c>
      <c r="AR23" s="73">
        <v>102.72637795275591</v>
      </c>
      <c r="AS23" s="84"/>
      <c r="AT23" s="42"/>
      <c r="AU23" s="111">
        <f t="shared" si="20"/>
        <v>0</v>
      </c>
      <c r="AV23" s="112">
        <f t="shared" si="5"/>
        <v>0</v>
      </c>
      <c r="AW23" s="80">
        <v>2.11</v>
      </c>
      <c r="AX23" s="84"/>
      <c r="AY23" s="42"/>
      <c r="AZ23" s="111">
        <f t="shared" si="21"/>
        <v>0</v>
      </c>
      <c r="BA23" s="119">
        <f t="shared" si="16"/>
        <v>0</v>
      </c>
      <c r="BB23" s="302">
        <v>0</v>
      </c>
      <c r="BC23" s="119">
        <v>0</v>
      </c>
      <c r="BD23" s="118">
        <f t="shared" si="17"/>
        <v>0</v>
      </c>
      <c r="BE23" s="119">
        <f>AQ23+AV23+BA23</f>
        <v>0</v>
      </c>
      <c r="BF23" s="7"/>
      <c r="BG23" s="101">
        <v>2028</v>
      </c>
      <c r="BH23" s="312"/>
      <c r="BI23" s="119"/>
      <c r="BJ23" s="118"/>
      <c r="BK23" s="119"/>
      <c r="BL23" s="312"/>
      <c r="BM23" s="119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</row>
    <row r="24" spans="1:97" s="1" customFormat="1" ht="12.75" customHeight="1">
      <c r="A24" s="26">
        <v>2029</v>
      </c>
      <c r="B24" s="87">
        <v>0</v>
      </c>
      <c r="C24" s="6"/>
      <c r="D24" s="78">
        <v>0</v>
      </c>
      <c r="E24" s="6"/>
      <c r="F24" s="91">
        <v>0</v>
      </c>
      <c r="G24" s="136"/>
      <c r="H24" s="78">
        <f t="shared" si="23"/>
        <v>0</v>
      </c>
      <c r="I24" s="150">
        <f t="shared" si="22"/>
        <v>0</v>
      </c>
      <c r="J24" s="78">
        <v>0</v>
      </c>
      <c r="K24" s="135"/>
      <c r="L24" s="78">
        <v>0</v>
      </c>
      <c r="M24" s="125">
        <v>0</v>
      </c>
      <c r="N24" s="74">
        <v>0</v>
      </c>
      <c r="O24" s="135"/>
      <c r="P24" s="91">
        <v>0</v>
      </c>
      <c r="Q24" s="135"/>
      <c r="R24" s="91">
        <v>0</v>
      </c>
      <c r="S24" s="135"/>
      <c r="T24" s="91">
        <v>0</v>
      </c>
      <c r="U24" s="135"/>
      <c r="V24" s="91">
        <v>0</v>
      </c>
      <c r="W24" s="135"/>
      <c r="X24" s="91">
        <f t="shared" si="9"/>
        <v>0</v>
      </c>
      <c r="Y24" s="131">
        <f t="shared" si="10"/>
        <v>0</v>
      </c>
      <c r="Z24" s="74">
        <v>0</v>
      </c>
      <c r="AA24" s="135"/>
      <c r="AB24" s="91">
        <v>0</v>
      </c>
      <c r="AC24" s="161"/>
      <c r="AD24" s="156">
        <v>0</v>
      </c>
      <c r="AE24" s="135"/>
      <c r="AF24" s="91">
        <f t="shared" si="11"/>
        <v>0</v>
      </c>
      <c r="AG24" s="131">
        <f t="shared" si="12"/>
        <v>0</v>
      </c>
      <c r="AH24" s="74">
        <f t="shared" si="13"/>
        <v>0</v>
      </c>
      <c r="AI24" s="94">
        <f t="shared" si="14"/>
        <v>0</v>
      </c>
      <c r="AJ24" s="121">
        <f t="shared" si="19"/>
        <v>0</v>
      </c>
      <c r="AK24" s="12"/>
      <c r="AL24" s="11">
        <v>2029</v>
      </c>
      <c r="AM24" s="194">
        <v>96.832181758530183</v>
      </c>
      <c r="AN24" s="67"/>
      <c r="AO24" s="60"/>
      <c r="AP24" s="70">
        <f t="shared" si="3"/>
        <v>0</v>
      </c>
      <c r="AQ24" s="63">
        <f t="shared" si="15"/>
        <v>0</v>
      </c>
      <c r="AR24" s="107">
        <v>102.72637795275591</v>
      </c>
      <c r="AS24" s="67"/>
      <c r="AT24" s="82"/>
      <c r="AU24" s="113">
        <f t="shared" si="20"/>
        <v>0</v>
      </c>
      <c r="AV24" s="114">
        <f t="shared" si="5"/>
        <v>0</v>
      </c>
      <c r="AW24" s="107">
        <v>2.11</v>
      </c>
      <c r="AX24" s="67"/>
      <c r="AY24" s="82"/>
      <c r="AZ24" s="113">
        <f t="shared" si="21"/>
        <v>0</v>
      </c>
      <c r="BA24" s="295">
        <f t="shared" si="16"/>
        <v>0</v>
      </c>
      <c r="BB24" s="303">
        <v>0</v>
      </c>
      <c r="BC24" s="295">
        <v>0</v>
      </c>
      <c r="BD24" s="120">
        <f t="shared" si="17"/>
        <v>0</v>
      </c>
      <c r="BE24" s="121">
        <f>AQ24+AV24+BA24</f>
        <v>0</v>
      </c>
      <c r="BF24" s="7"/>
      <c r="BG24" s="102">
        <v>2029</v>
      </c>
      <c r="BH24" s="120"/>
      <c r="BI24" s="121"/>
      <c r="BJ24" s="120"/>
      <c r="BK24" s="125"/>
      <c r="BL24" s="120"/>
      <c r="BM24" s="121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</row>
    <row r="25" spans="1:97" s="1" customFormat="1" ht="12.75" customHeight="1">
      <c r="A25" s="25">
        <v>2030</v>
      </c>
      <c r="B25" s="88">
        <v>0</v>
      </c>
      <c r="C25" s="5"/>
      <c r="D25" s="77">
        <v>0</v>
      </c>
      <c r="E25" s="5"/>
      <c r="F25" s="90">
        <v>0</v>
      </c>
      <c r="G25" s="134"/>
      <c r="H25" s="89">
        <f t="shared" si="23"/>
        <v>0</v>
      </c>
      <c r="I25" s="149">
        <f t="shared" si="22"/>
        <v>0</v>
      </c>
      <c r="J25" s="169">
        <v>0</v>
      </c>
      <c r="K25" s="47"/>
      <c r="L25" s="89">
        <v>0</v>
      </c>
      <c r="M25" s="119">
        <v>0</v>
      </c>
      <c r="N25" s="73">
        <v>0</v>
      </c>
      <c r="O25" s="47"/>
      <c r="P25" s="90">
        <v>0</v>
      </c>
      <c r="Q25" s="47"/>
      <c r="R25" s="90">
        <v>0</v>
      </c>
      <c r="S25" s="47"/>
      <c r="T25" s="90">
        <v>0</v>
      </c>
      <c r="U25" s="47"/>
      <c r="V25" s="90">
        <v>0</v>
      </c>
      <c r="W25" s="47"/>
      <c r="X25" s="90">
        <f t="shared" si="9"/>
        <v>0</v>
      </c>
      <c r="Y25" s="130">
        <f t="shared" si="10"/>
        <v>0</v>
      </c>
      <c r="Z25" s="73">
        <v>0</v>
      </c>
      <c r="AA25" s="47"/>
      <c r="AB25" s="90">
        <v>0</v>
      </c>
      <c r="AC25" s="160"/>
      <c r="AD25" s="155">
        <v>0</v>
      </c>
      <c r="AE25" s="47"/>
      <c r="AF25" s="90">
        <f t="shared" si="11"/>
        <v>0</v>
      </c>
      <c r="AG25" s="130">
        <f t="shared" si="12"/>
        <v>0</v>
      </c>
      <c r="AH25" s="73">
        <f t="shared" si="13"/>
        <v>0</v>
      </c>
      <c r="AI25" s="93">
        <f t="shared" si="14"/>
        <v>0</v>
      </c>
      <c r="AJ25" s="119">
        <f t="shared" si="19"/>
        <v>0</v>
      </c>
      <c r="AK25" s="12"/>
      <c r="AL25" s="10">
        <v>2030</v>
      </c>
      <c r="AM25" s="86">
        <v>96.832181758530183</v>
      </c>
      <c r="AN25" s="66"/>
      <c r="AO25" s="59"/>
      <c r="AP25" s="69">
        <f t="shared" si="3"/>
        <v>0</v>
      </c>
      <c r="AQ25" s="62">
        <f t="shared" si="15"/>
        <v>0</v>
      </c>
      <c r="AR25" s="73">
        <v>102.72637795275591</v>
      </c>
      <c r="AS25" s="84"/>
      <c r="AT25" s="42"/>
      <c r="AU25" s="111">
        <f t="shared" si="20"/>
        <v>0</v>
      </c>
      <c r="AV25" s="112">
        <f t="shared" si="5"/>
        <v>0</v>
      </c>
      <c r="AW25" s="80">
        <v>2.11</v>
      </c>
      <c r="AX25" s="84"/>
      <c r="AY25" s="42"/>
      <c r="AZ25" s="111">
        <f t="shared" si="21"/>
        <v>0</v>
      </c>
      <c r="BA25" s="119">
        <f t="shared" si="16"/>
        <v>0</v>
      </c>
      <c r="BB25" s="302">
        <v>0</v>
      </c>
      <c r="BC25" s="119">
        <v>0</v>
      </c>
      <c r="BD25" s="118">
        <f t="shared" si="17"/>
        <v>0</v>
      </c>
      <c r="BE25" s="119">
        <f>AQ25+AV25+BA25</f>
        <v>0</v>
      </c>
      <c r="BF25" s="7"/>
      <c r="BG25" s="101">
        <v>2030</v>
      </c>
      <c r="BH25" s="312"/>
      <c r="BI25" s="119"/>
      <c r="BJ25" s="118"/>
      <c r="BK25" s="119"/>
      <c r="BL25" s="312"/>
      <c r="BM25" s="119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</row>
    <row r="26" spans="1:97" s="1" customFormat="1" ht="12.75" customHeight="1">
      <c r="A26" s="26">
        <v>2031</v>
      </c>
      <c r="B26" s="87">
        <v>0</v>
      </c>
      <c r="C26" s="6"/>
      <c r="D26" s="78">
        <v>0</v>
      </c>
      <c r="E26" s="6"/>
      <c r="F26" s="91">
        <v>0</v>
      </c>
      <c r="G26" s="136"/>
      <c r="H26" s="78">
        <f t="shared" si="23"/>
        <v>0</v>
      </c>
      <c r="I26" s="150">
        <f t="shared" si="22"/>
        <v>0</v>
      </c>
      <c r="J26" s="78">
        <v>0</v>
      </c>
      <c r="K26" s="135"/>
      <c r="L26" s="78">
        <v>0</v>
      </c>
      <c r="M26" s="125">
        <v>0</v>
      </c>
      <c r="N26" s="74">
        <v>0</v>
      </c>
      <c r="O26" s="135"/>
      <c r="P26" s="91">
        <v>0</v>
      </c>
      <c r="Q26" s="135"/>
      <c r="R26" s="91">
        <v>0</v>
      </c>
      <c r="S26" s="135"/>
      <c r="T26" s="91">
        <v>0</v>
      </c>
      <c r="U26" s="135"/>
      <c r="V26" s="91">
        <v>0</v>
      </c>
      <c r="W26" s="135"/>
      <c r="X26" s="91">
        <f t="shared" si="9"/>
        <v>0</v>
      </c>
      <c r="Y26" s="131">
        <f t="shared" si="10"/>
        <v>0</v>
      </c>
      <c r="Z26" s="74">
        <v>0</v>
      </c>
      <c r="AA26" s="135"/>
      <c r="AB26" s="91">
        <v>0</v>
      </c>
      <c r="AC26" s="161"/>
      <c r="AD26" s="156">
        <v>0</v>
      </c>
      <c r="AE26" s="135"/>
      <c r="AF26" s="91">
        <f t="shared" si="11"/>
        <v>0</v>
      </c>
      <c r="AG26" s="131">
        <f t="shared" si="12"/>
        <v>0</v>
      </c>
      <c r="AH26" s="74">
        <f t="shared" si="13"/>
        <v>0</v>
      </c>
      <c r="AI26" s="94">
        <f t="shared" si="14"/>
        <v>0</v>
      </c>
      <c r="AJ26" s="121">
        <f t="shared" si="19"/>
        <v>0</v>
      </c>
      <c r="AK26" s="12"/>
      <c r="AL26" s="11">
        <v>2031</v>
      </c>
      <c r="AM26" s="194">
        <v>96.832181758530183</v>
      </c>
      <c r="AN26" s="67"/>
      <c r="AO26" s="60"/>
      <c r="AP26" s="70">
        <f t="shared" si="3"/>
        <v>0</v>
      </c>
      <c r="AQ26" s="63">
        <f t="shared" si="15"/>
        <v>0</v>
      </c>
      <c r="AR26" s="107">
        <v>102.72637795275591</v>
      </c>
      <c r="AS26" s="67"/>
      <c r="AT26" s="82"/>
      <c r="AU26" s="113">
        <f t="shared" si="20"/>
        <v>0</v>
      </c>
      <c r="AV26" s="114">
        <f t="shared" si="5"/>
        <v>0</v>
      </c>
      <c r="AW26" s="107">
        <v>2.11</v>
      </c>
      <c r="AX26" s="67"/>
      <c r="AY26" s="82"/>
      <c r="AZ26" s="113">
        <f t="shared" si="21"/>
        <v>0</v>
      </c>
      <c r="BA26" s="295">
        <f t="shared" si="16"/>
        <v>0</v>
      </c>
      <c r="BB26" s="303">
        <v>0</v>
      </c>
      <c r="BC26" s="295">
        <v>0</v>
      </c>
      <c r="BD26" s="120">
        <f t="shared" si="17"/>
        <v>0</v>
      </c>
      <c r="BE26" s="121">
        <f>AQ26+AV26+BA26</f>
        <v>0</v>
      </c>
      <c r="BF26" s="7"/>
      <c r="BG26" s="102">
        <v>2031</v>
      </c>
      <c r="BH26" s="120"/>
      <c r="BI26" s="121"/>
      <c r="BJ26" s="120"/>
      <c r="BK26" s="125"/>
      <c r="BL26" s="120"/>
      <c r="BM26" s="121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</row>
    <row r="27" spans="1:97" s="1" customFormat="1" ht="12.75" customHeight="1">
      <c r="A27" s="25">
        <v>2032</v>
      </c>
      <c r="B27" s="88">
        <v>0</v>
      </c>
      <c r="C27" s="5"/>
      <c r="D27" s="77">
        <v>0</v>
      </c>
      <c r="E27" s="5"/>
      <c r="F27" s="90">
        <v>0</v>
      </c>
      <c r="G27" s="134"/>
      <c r="H27" s="89">
        <f t="shared" si="23"/>
        <v>0</v>
      </c>
      <c r="I27" s="149">
        <f t="shared" si="22"/>
        <v>0</v>
      </c>
      <c r="J27" s="169">
        <v>0</v>
      </c>
      <c r="K27" s="47"/>
      <c r="L27" s="89">
        <v>0</v>
      </c>
      <c r="M27" s="119">
        <v>0</v>
      </c>
      <c r="N27" s="73">
        <v>0</v>
      </c>
      <c r="O27" s="47"/>
      <c r="P27" s="90">
        <v>0</v>
      </c>
      <c r="Q27" s="47"/>
      <c r="R27" s="90">
        <v>0</v>
      </c>
      <c r="S27" s="47"/>
      <c r="T27" s="90">
        <v>0</v>
      </c>
      <c r="U27" s="47"/>
      <c r="V27" s="90">
        <v>0</v>
      </c>
      <c r="W27" s="47"/>
      <c r="X27" s="90">
        <f t="shared" si="9"/>
        <v>0</v>
      </c>
      <c r="Y27" s="130">
        <f t="shared" si="10"/>
        <v>0</v>
      </c>
      <c r="Z27" s="73">
        <v>0</v>
      </c>
      <c r="AA27" s="47"/>
      <c r="AB27" s="90">
        <v>0</v>
      </c>
      <c r="AC27" s="160"/>
      <c r="AD27" s="155">
        <v>0</v>
      </c>
      <c r="AE27" s="47"/>
      <c r="AF27" s="90">
        <f t="shared" si="11"/>
        <v>0</v>
      </c>
      <c r="AG27" s="130">
        <f t="shared" si="12"/>
        <v>0</v>
      </c>
      <c r="AH27" s="73">
        <f t="shared" si="13"/>
        <v>0</v>
      </c>
      <c r="AI27" s="93">
        <f t="shared" si="14"/>
        <v>0</v>
      </c>
      <c r="AJ27" s="119">
        <f t="shared" si="19"/>
        <v>0</v>
      </c>
      <c r="AK27" s="12"/>
      <c r="AL27" s="10">
        <v>2032</v>
      </c>
      <c r="AM27" s="86">
        <v>96.832181758530183</v>
      </c>
      <c r="AN27" s="66"/>
      <c r="AO27" s="59"/>
      <c r="AP27" s="103">
        <f t="shared" si="3"/>
        <v>0</v>
      </c>
      <c r="AQ27" s="62">
        <f t="shared" si="15"/>
        <v>0</v>
      </c>
      <c r="AR27" s="73">
        <v>102.72637795275591</v>
      </c>
      <c r="AS27" s="84"/>
      <c r="AT27" s="42"/>
      <c r="AU27" s="111">
        <f t="shared" si="20"/>
        <v>0</v>
      </c>
      <c r="AV27" s="112">
        <f t="shared" si="5"/>
        <v>0</v>
      </c>
      <c r="AW27" s="80">
        <v>2.11</v>
      </c>
      <c r="AX27" s="84"/>
      <c r="AY27" s="42"/>
      <c r="AZ27" s="111">
        <f t="shared" si="21"/>
        <v>0</v>
      </c>
      <c r="BA27" s="119">
        <f t="shared" si="16"/>
        <v>0</v>
      </c>
      <c r="BB27" s="302">
        <v>0</v>
      </c>
      <c r="BC27" s="119">
        <v>0</v>
      </c>
      <c r="BD27" s="118">
        <f t="shared" si="17"/>
        <v>0</v>
      </c>
      <c r="BE27" s="119">
        <f>AQ27+AV27+BA27</f>
        <v>0</v>
      </c>
      <c r="BF27" s="7"/>
      <c r="BG27" s="101">
        <v>2032</v>
      </c>
      <c r="BH27" s="312"/>
      <c r="BI27" s="119"/>
      <c r="BJ27" s="118"/>
      <c r="BK27" s="119"/>
      <c r="BL27" s="312"/>
      <c r="BM27" s="119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</row>
    <row r="28" spans="1:97" s="1" customFormat="1" ht="12.75" customHeight="1" thickBot="1">
      <c r="A28" s="40">
        <v>2033</v>
      </c>
      <c r="B28" s="85">
        <v>0</v>
      </c>
      <c r="C28" s="39"/>
      <c r="D28" s="79">
        <v>0</v>
      </c>
      <c r="E28" s="39"/>
      <c r="F28" s="79">
        <v>0</v>
      </c>
      <c r="G28" s="147"/>
      <c r="H28" s="79">
        <f t="shared" si="23"/>
        <v>0</v>
      </c>
      <c r="I28" s="152">
        <f t="shared" si="22"/>
        <v>0</v>
      </c>
      <c r="J28" s="79">
        <v>0</v>
      </c>
      <c r="K28" s="146"/>
      <c r="L28" s="79">
        <v>0</v>
      </c>
      <c r="M28" s="126">
        <v>0</v>
      </c>
      <c r="N28" s="85">
        <v>0</v>
      </c>
      <c r="O28" s="146"/>
      <c r="P28" s="79">
        <v>0</v>
      </c>
      <c r="Q28" s="146"/>
      <c r="R28" s="79">
        <v>0</v>
      </c>
      <c r="S28" s="146"/>
      <c r="T28" s="79">
        <v>0</v>
      </c>
      <c r="U28" s="146"/>
      <c r="V28" s="92">
        <v>0</v>
      </c>
      <c r="W28" s="146"/>
      <c r="X28" s="92">
        <f>N28+P28+R28+T28+V28</f>
        <v>0</v>
      </c>
      <c r="Y28" s="132">
        <f t="shared" si="10"/>
        <v>0</v>
      </c>
      <c r="Z28" s="85">
        <v>0</v>
      </c>
      <c r="AA28" s="146"/>
      <c r="AB28" s="79">
        <v>0</v>
      </c>
      <c r="AC28" s="162"/>
      <c r="AD28" s="157">
        <v>0</v>
      </c>
      <c r="AE28" s="146"/>
      <c r="AF28" s="92">
        <f>Z28+AB28</f>
        <v>0</v>
      </c>
      <c r="AG28" s="132">
        <f>AA28+AC28</f>
        <v>0</v>
      </c>
      <c r="AH28" s="75">
        <f t="shared" si="13"/>
        <v>0</v>
      </c>
      <c r="AI28" s="95">
        <f>AH28*1.1</f>
        <v>0</v>
      </c>
      <c r="AJ28" s="123">
        <f t="shared" si="19"/>
        <v>0</v>
      </c>
      <c r="AK28" s="12"/>
      <c r="AL28" s="38">
        <v>2033</v>
      </c>
      <c r="AM28" s="195">
        <v>96.832181758530183</v>
      </c>
      <c r="AN28" s="68"/>
      <c r="AO28" s="61"/>
      <c r="AP28" s="71">
        <f t="shared" si="3"/>
        <v>0</v>
      </c>
      <c r="AQ28" s="64">
        <f t="shared" si="15"/>
        <v>0</v>
      </c>
      <c r="AR28" s="106">
        <v>102.72637795275591</v>
      </c>
      <c r="AS28" s="68"/>
      <c r="AT28" s="83"/>
      <c r="AU28" s="115">
        <f t="shared" si="20"/>
        <v>0</v>
      </c>
      <c r="AV28" s="127">
        <f t="shared" si="5"/>
        <v>0</v>
      </c>
      <c r="AW28" s="106">
        <v>2.11</v>
      </c>
      <c r="AX28" s="68"/>
      <c r="AY28" s="83"/>
      <c r="AZ28" s="115">
        <f>AX28*(414/304.8)</f>
        <v>0</v>
      </c>
      <c r="BA28" s="296">
        <f t="shared" si="16"/>
        <v>0</v>
      </c>
      <c r="BB28" s="304">
        <v>0</v>
      </c>
      <c r="BC28" s="296">
        <v>0</v>
      </c>
      <c r="BD28" s="122">
        <f>AP28+AU28+AZ28</f>
        <v>0</v>
      </c>
      <c r="BE28" s="123">
        <f>AQ28+AV28+BA28</f>
        <v>0</v>
      </c>
      <c r="BF28" s="7"/>
      <c r="BG28" s="128">
        <v>2033</v>
      </c>
      <c r="BH28" s="122"/>
      <c r="BI28" s="123"/>
      <c r="BJ28" s="122"/>
      <c r="BK28" s="126"/>
      <c r="BL28" s="122"/>
      <c r="BM28" s="12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</row>
    <row r="29" spans="1:97" s="1" customFormat="1" ht="14.25">
      <c r="A29" s="1" t="s">
        <v>52</v>
      </c>
      <c r="S29" s="3"/>
      <c r="U29" s="3"/>
      <c r="V29" s="3"/>
      <c r="W29" s="7"/>
      <c r="X29" s="7"/>
      <c r="Y29" s="7"/>
      <c r="Z29" s="7"/>
      <c r="AA29" s="12"/>
      <c r="AF29" s="3"/>
      <c r="AG29" s="7"/>
      <c r="AL29" s="23" t="s">
        <v>30</v>
      </c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</row>
    <row r="30" spans="1:97" s="1" customFormat="1" ht="14.25">
      <c r="A30" s="1" t="s">
        <v>6</v>
      </c>
      <c r="O30" s="168"/>
      <c r="Q30" s="168"/>
      <c r="S30" s="3"/>
      <c r="U30" s="3"/>
      <c r="V30" s="3"/>
      <c r="W30" s="7"/>
      <c r="X30" s="7"/>
      <c r="Y30" s="7"/>
      <c r="Z30" s="7"/>
      <c r="AA30" s="12"/>
      <c r="AF30" s="3"/>
      <c r="AG30" s="7"/>
      <c r="AL30" s="1" t="s">
        <v>80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</row>
    <row r="31" spans="1:97" s="1" customFormat="1" ht="14.25">
      <c r="A31" s="20" t="s">
        <v>60</v>
      </c>
      <c r="B31" s="2"/>
      <c r="C31" s="2"/>
      <c r="D31" s="2"/>
      <c r="E31" s="2"/>
      <c r="F31" s="2"/>
      <c r="G31" s="2"/>
      <c r="L31" s="2"/>
      <c r="M31" s="2"/>
      <c r="N31" s="2"/>
      <c r="O31" s="168"/>
      <c r="P31" s="187"/>
      <c r="T31" s="7"/>
      <c r="U31" s="8"/>
      <c r="V31" s="7"/>
      <c r="AF31" s="7"/>
      <c r="AG31" s="7"/>
      <c r="BB31" s="297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</row>
    <row r="32" spans="1:97" s="1" customFormat="1">
      <c r="A32" s="20"/>
      <c r="B32" s="2"/>
      <c r="C32" s="2"/>
      <c r="D32" s="2"/>
      <c r="E32" s="2"/>
      <c r="F32" s="2"/>
      <c r="G32" s="2"/>
      <c r="L32" s="2"/>
      <c r="M32" s="2"/>
      <c r="N32" s="2"/>
      <c r="O32" s="168"/>
      <c r="P32" s="168"/>
      <c r="T32" s="7"/>
      <c r="U32" s="8"/>
      <c r="V32" s="7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</row>
    <row r="33" spans="13:97" s="1" customFormat="1">
      <c r="M33" s="170"/>
      <c r="Q33" s="168"/>
      <c r="AD33" s="7"/>
      <c r="AE33" s="8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</row>
    <row r="34" spans="13:97" s="1" customFormat="1" ht="30.75" customHeight="1">
      <c r="T34" s="168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</row>
    <row r="35" spans="13:97" s="1" customFormat="1" ht="37.5" customHeight="1"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</row>
    <row r="36" spans="13:97" s="1" customFormat="1" ht="52.5" customHeight="1">
      <c r="AF36" s="213"/>
      <c r="AG36" s="21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</row>
    <row r="37" spans="13:97" s="1" customFormat="1" ht="12.75" customHeight="1">
      <c r="AF37" s="52"/>
      <c r="AG37" s="55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</row>
    <row r="38" spans="13:97" s="1" customFormat="1" ht="12.75" customHeight="1">
      <c r="AF38" s="52"/>
      <c r="AG38" s="56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</row>
    <row r="39" spans="13:97" s="1" customFormat="1" ht="12.75" customHeight="1">
      <c r="AF39" s="57"/>
      <c r="AG39" s="56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</row>
    <row r="40" spans="13:97" s="1" customFormat="1" ht="12.75" customHeight="1">
      <c r="AF40" s="57"/>
      <c r="AG40" s="58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</row>
    <row r="41" spans="13:97" s="1" customFormat="1" ht="12.75" customHeight="1">
      <c r="AF41" s="57"/>
      <c r="AG41" s="58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</row>
    <row r="42" spans="13:97" s="1" customFormat="1" ht="12.75" customHeight="1"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</row>
    <row r="43" spans="13:97" s="1" customFormat="1" ht="12.75" customHeight="1"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</row>
    <row r="44" spans="13:97" s="1" customFormat="1" ht="12.75" customHeight="1"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</row>
    <row r="45" spans="13:97" s="1" customFormat="1" ht="12.75" customHeight="1"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</row>
    <row r="46" spans="13:97" s="1" customFormat="1" ht="12.75" customHeight="1"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</row>
    <row r="47" spans="13:97" s="1" customFormat="1" ht="12.75" customHeight="1"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</row>
    <row r="48" spans="13:97" s="1" customFormat="1" ht="12.75" customHeight="1">
      <c r="AD48" s="19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</row>
    <row r="49" spans="30:97" s="19" customFormat="1" ht="12.75" customHeight="1">
      <c r="AD49" s="1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</row>
    <row r="50" spans="30:97" s="1" customFormat="1" ht="12.75" customHeight="1"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</row>
    <row r="51" spans="30:97" s="1" customFormat="1" ht="12.75" customHeight="1"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</row>
    <row r="52" spans="30:97" s="1" customFormat="1" ht="12.75" customHeight="1">
      <c r="AD52" s="12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</row>
    <row r="53" spans="30:97" s="12" customFormat="1" ht="12.75" customHeight="1"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</row>
    <row r="54" spans="30:97" s="12" customFormat="1" ht="12.75" customHeight="1"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</row>
    <row r="55" spans="30:97" s="12" customFormat="1" ht="12.75" customHeight="1"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</row>
    <row r="56" spans="30:97" s="12" customFormat="1" ht="12.75" customHeight="1"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</row>
    <row r="57" spans="30:97" s="12" customFormat="1" ht="12.75" customHeight="1">
      <c r="AD57" s="1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</row>
    <row r="58" spans="30:97" s="12" customFormat="1"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</row>
    <row r="59" spans="30:97" s="12" customFormat="1"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</row>
    <row r="60" spans="30:97" s="12" customFormat="1"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</row>
    <row r="61" spans="30:97" s="12" customFormat="1"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</row>
    <row r="62" spans="30:97" s="12" customFormat="1"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</row>
    <row r="63" spans="30:97" s="12" customFormat="1"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</row>
    <row r="64" spans="30:97" s="12" customFormat="1"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</row>
    <row r="65" spans="67:97" s="12" customFormat="1"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</row>
    <row r="66" spans="67:97" s="12" customFormat="1"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</row>
    <row r="67" spans="67:97" s="12" customFormat="1"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</row>
    <row r="68" spans="67:97" s="12" customFormat="1"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</row>
    <row r="69" spans="67:97" s="12" customFormat="1"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</row>
    <row r="70" spans="67:97" s="12" customFormat="1"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</row>
    <row r="71" spans="67:97" s="12" customFormat="1"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</row>
    <row r="72" spans="67:97" s="12" customFormat="1"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</row>
    <row r="73" spans="67:97" s="12" customFormat="1"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</row>
    <row r="74" spans="67:97" s="12" customFormat="1"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</row>
    <row r="75" spans="67:97" s="12" customFormat="1"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</row>
    <row r="76" spans="67:97" s="12" customFormat="1"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</row>
    <row r="77" spans="67:97" s="12" customFormat="1"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</row>
    <row r="78" spans="67:97" s="12" customFormat="1"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</row>
    <row r="79" spans="67:97" s="12" customFormat="1"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</row>
    <row r="80" spans="67:97" s="12" customFormat="1"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</row>
    <row r="81" spans="67:97" s="12" customFormat="1"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</row>
    <row r="82" spans="67:97" s="12" customFormat="1"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</row>
    <row r="83" spans="67:97" s="12" customFormat="1"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</row>
    <row r="84" spans="67:97" s="12" customFormat="1"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</row>
    <row r="85" spans="67:97" s="12" customFormat="1"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</row>
    <row r="86" spans="67:97" s="12" customFormat="1"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</row>
    <row r="87" spans="67:97" s="12" customFormat="1"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</row>
    <row r="88" spans="67:97" s="12" customFormat="1"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</row>
    <row r="89" spans="67:97" s="12" customFormat="1"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</row>
    <row r="90" spans="67:97" s="12" customFormat="1"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</row>
    <row r="91" spans="67:97" s="12" customFormat="1"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</row>
    <row r="92" spans="67:97" s="12" customFormat="1"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</row>
    <row r="93" spans="67:97" s="12" customFormat="1"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</row>
    <row r="94" spans="67:97" s="12" customFormat="1"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</row>
    <row r="95" spans="67:97" s="12" customFormat="1"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</row>
    <row r="96" spans="67:97" s="12" customFormat="1"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</row>
    <row r="97" spans="67:97" s="12" customFormat="1"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</row>
    <row r="98" spans="67:97" s="12" customFormat="1"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</row>
    <row r="99" spans="67:97" s="12" customFormat="1"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</row>
    <row r="100" spans="67:97" s="12" customFormat="1"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</row>
    <row r="101" spans="67:97" s="12" customFormat="1"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</row>
    <row r="102" spans="67:97" s="12" customFormat="1"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</row>
    <row r="103" spans="67:97" s="12" customFormat="1"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</row>
    <row r="104" spans="67:97" s="12" customFormat="1"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</row>
    <row r="105" spans="67:97" s="12" customFormat="1"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</row>
    <row r="106" spans="67:97" s="12" customFormat="1"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</row>
    <row r="107" spans="67:97" s="12" customFormat="1"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</row>
    <row r="108" spans="67:97" s="12" customFormat="1"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</row>
    <row r="109" spans="67:97" s="12" customFormat="1"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</row>
    <row r="110" spans="67:97" s="12" customFormat="1"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</row>
    <row r="111" spans="67:97" s="12" customFormat="1"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</row>
    <row r="112" spans="67:97" s="12" customFormat="1"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</row>
    <row r="113" spans="67:97" s="12" customFormat="1"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</row>
  </sheetData>
  <mergeCells count="44">
    <mergeCell ref="BB4:BC6"/>
    <mergeCell ref="AD6:AE6"/>
    <mergeCell ref="Z4:AG4"/>
    <mergeCell ref="Z5:AG5"/>
    <mergeCell ref="N6:O6"/>
    <mergeCell ref="P6:Q6"/>
    <mergeCell ref="T6:U6"/>
    <mergeCell ref="Z6:AA6"/>
    <mergeCell ref="AB6:AC6"/>
    <mergeCell ref="V6:W6"/>
    <mergeCell ref="X6:Y6"/>
    <mergeCell ref="R6:S6"/>
    <mergeCell ref="N4:Y4"/>
    <mergeCell ref="N5:Y5"/>
    <mergeCell ref="BH4:BI6"/>
    <mergeCell ref="BJ4:BK6"/>
    <mergeCell ref="BL4:BM6"/>
    <mergeCell ref="AS6:AT6"/>
    <mergeCell ref="AX6:AY6"/>
    <mergeCell ref="AU6:AV6"/>
    <mergeCell ref="AW6:AW7"/>
    <mergeCell ref="AZ6:BA6"/>
    <mergeCell ref="AW4:BA5"/>
    <mergeCell ref="BD4:BE6"/>
    <mergeCell ref="BG4:BG7"/>
    <mergeCell ref="AF36:AG36"/>
    <mergeCell ref="AF6:AG6"/>
    <mergeCell ref="AH4:AJ6"/>
    <mergeCell ref="AM6:AM7"/>
    <mergeCell ref="AR6:AR7"/>
    <mergeCell ref="AN6:AO6"/>
    <mergeCell ref="AP6:AQ6"/>
    <mergeCell ref="AL4:AL7"/>
    <mergeCell ref="AM4:AQ5"/>
    <mergeCell ref="AR4:AV5"/>
    <mergeCell ref="A4:A7"/>
    <mergeCell ref="B6:C6"/>
    <mergeCell ref="D6:E6"/>
    <mergeCell ref="L6:M6"/>
    <mergeCell ref="H6:I6"/>
    <mergeCell ref="B4:M4"/>
    <mergeCell ref="F6:G6"/>
    <mergeCell ref="B5:M5"/>
    <mergeCell ref="J6:K6"/>
  </mergeCells>
  <phoneticPr fontId="1" type="noConversion"/>
  <printOptions horizontalCentered="1"/>
  <pageMargins left="0.25" right="0.25" top="0.25" bottom="0.25" header="0.3" footer="0.3"/>
  <pageSetup paperSize="17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18"/>
  <sheetViews>
    <sheetView workbookViewId="0">
      <selection activeCell="G32" sqref="G32"/>
    </sheetView>
  </sheetViews>
  <sheetFormatPr defaultRowHeight="12.75"/>
  <cols>
    <col min="1" max="1" width="11.5703125" style="30" customWidth="1"/>
    <col min="2" max="7" width="11.5703125" style="28" customWidth="1"/>
    <col min="8" max="13" width="11.5703125" customWidth="1"/>
    <col min="16" max="16" width="10.140625" bestFit="1" customWidth="1"/>
    <col min="19" max="19" width="10.140625" bestFit="1" customWidth="1"/>
  </cols>
  <sheetData>
    <row r="1" spans="1:14" s="29" customFormat="1" ht="15.75">
      <c r="A1" s="54" t="s">
        <v>78</v>
      </c>
      <c r="B1" s="31"/>
      <c r="C1" s="31"/>
      <c r="D1" s="31"/>
      <c r="E1" s="31"/>
      <c r="F1" s="31"/>
      <c r="G1" s="54" t="s">
        <v>23</v>
      </c>
    </row>
    <row r="2" spans="1:14" ht="15.75">
      <c r="G2" s="54"/>
      <c r="H2" s="29"/>
      <c r="I2" s="29"/>
      <c r="J2" s="29"/>
      <c r="K2" s="29"/>
      <c r="L2" s="29"/>
    </row>
    <row r="3" spans="1:14" s="30" customFormat="1" ht="38.25">
      <c r="A3" s="30" t="s">
        <v>12</v>
      </c>
      <c r="B3" s="32" t="s">
        <v>41</v>
      </c>
      <c r="C3" s="32" t="s">
        <v>42</v>
      </c>
      <c r="D3" s="32" t="s">
        <v>43</v>
      </c>
      <c r="G3" s="32" t="s">
        <v>62</v>
      </c>
      <c r="H3" s="30" t="s">
        <v>26</v>
      </c>
      <c r="I3" s="30" t="s">
        <v>73</v>
      </c>
      <c r="J3" s="30" t="s">
        <v>63</v>
      </c>
      <c r="K3" s="30" t="s">
        <v>13</v>
      </c>
      <c r="L3" s="30" t="s">
        <v>14</v>
      </c>
      <c r="M3" s="172"/>
    </row>
    <row r="4" spans="1:14">
      <c r="A4" s="27" t="s">
        <v>7</v>
      </c>
      <c r="B4" s="28">
        <v>1.85</v>
      </c>
      <c r="C4" s="140">
        <v>214</v>
      </c>
      <c r="D4" s="33">
        <f>B4*C4*$A$15/12</f>
        <v>1.2704158127494338</v>
      </c>
      <c r="E4" s="143"/>
      <c r="F4"/>
      <c r="G4" s="34" t="s">
        <v>72</v>
      </c>
      <c r="H4" s="27">
        <v>145.69999999999999</v>
      </c>
      <c r="I4" s="27">
        <f>H18</f>
        <v>202.57</v>
      </c>
      <c r="J4" s="27">
        <f>H4*I4</f>
        <v>29514.448999999997</v>
      </c>
      <c r="K4" s="172">
        <f>J4/25.4</f>
        <v>1161.9861811023623</v>
      </c>
      <c r="L4" s="172">
        <f>K4/12</f>
        <v>96.832181758530183</v>
      </c>
      <c r="M4" s="172"/>
    </row>
    <row r="5" spans="1:14">
      <c r="A5" s="27" t="s">
        <v>8</v>
      </c>
      <c r="B5" s="28">
        <v>0.17</v>
      </c>
      <c r="C5" s="140">
        <v>91</v>
      </c>
      <c r="D5" s="33">
        <f>B5*C5*$A$15/12</f>
        <v>4.9642163736382271E-2</v>
      </c>
      <c r="E5" s="143"/>
      <c r="F5"/>
      <c r="G5" s="34" t="s">
        <v>24</v>
      </c>
      <c r="H5" s="27">
        <v>71</v>
      </c>
      <c r="I5" s="27">
        <v>441</v>
      </c>
      <c r="J5" s="27">
        <f>H5*I5</f>
        <v>31311</v>
      </c>
      <c r="K5" s="172">
        <f>J5/25.4</f>
        <v>1232.7165354330709</v>
      </c>
      <c r="L5" s="172">
        <f>K5/12</f>
        <v>102.72637795275591</v>
      </c>
      <c r="M5" s="172"/>
    </row>
    <row r="6" spans="1:14">
      <c r="A6" s="27" t="s">
        <v>9</v>
      </c>
      <c r="B6" s="28">
        <v>0.45</v>
      </c>
      <c r="C6" s="140">
        <v>91</v>
      </c>
      <c r="D6" s="33">
        <f>B6*C6*$A$15/12</f>
        <v>0.13140572753748248</v>
      </c>
      <c r="E6" s="143"/>
      <c r="F6"/>
      <c r="G6" s="34" t="s">
        <v>25</v>
      </c>
      <c r="H6" s="27" t="s">
        <v>27</v>
      </c>
      <c r="I6" s="27" t="s">
        <v>27</v>
      </c>
      <c r="J6" s="27" t="s">
        <v>27</v>
      </c>
      <c r="K6" s="27" t="s">
        <v>27</v>
      </c>
      <c r="L6" s="173">
        <v>2.11</v>
      </c>
      <c r="M6" s="174"/>
    </row>
    <row r="7" spans="1:14">
      <c r="A7" s="27" t="s">
        <v>10</v>
      </c>
      <c r="B7" s="28">
        <v>1.53</v>
      </c>
      <c r="C7" s="140">
        <v>214</v>
      </c>
      <c r="D7" s="33">
        <f>B7*C7*$A$15/12</f>
        <v>1.0506682127062885</v>
      </c>
      <c r="E7" s="143"/>
      <c r="F7"/>
      <c r="G7" s="34"/>
      <c r="L7" s="174">
        <v>183.29831364829397</v>
      </c>
    </row>
    <row r="8" spans="1:14" ht="13.5" thickBot="1">
      <c r="A8" s="27" t="s">
        <v>11</v>
      </c>
      <c r="B8" s="28">
        <v>0.5</v>
      </c>
      <c r="C8" s="28">
        <v>91</v>
      </c>
      <c r="D8" s="144">
        <f>B8*C8*$A$15/12</f>
        <v>0.14600636393053609</v>
      </c>
      <c r="E8" s="143"/>
      <c r="F8"/>
      <c r="G8"/>
    </row>
    <row r="9" spans="1:14">
      <c r="D9" s="33">
        <f>SUM(D4:D8)</f>
        <v>2.648138280660123</v>
      </c>
      <c r="F9" s="33"/>
      <c r="G9" s="34" t="s">
        <v>74</v>
      </c>
    </row>
    <row r="10" spans="1:14">
      <c r="G10" s="34" t="s">
        <v>75</v>
      </c>
      <c r="H10" s="53"/>
      <c r="I10" s="53"/>
      <c r="J10" s="53"/>
      <c r="K10" s="53"/>
      <c r="L10" s="53"/>
      <c r="M10" s="138"/>
      <c r="N10">
        <f>I5/H5</f>
        <v>6.211267605633803</v>
      </c>
    </row>
    <row r="11" spans="1:14">
      <c r="A11" s="34" t="s">
        <v>16</v>
      </c>
      <c r="G11" s="34"/>
      <c r="H11" s="53"/>
      <c r="I11" s="53"/>
      <c r="J11" s="53"/>
      <c r="K11" s="53"/>
      <c r="L11" s="53"/>
      <c r="M11" s="138"/>
    </row>
    <row r="12" spans="1:14">
      <c r="G12" s="175" t="s">
        <v>76</v>
      </c>
      <c r="H12" s="53"/>
      <c r="I12" s="53"/>
      <c r="J12" s="53"/>
      <c r="K12" s="53"/>
      <c r="L12" s="138"/>
    </row>
    <row r="13" spans="1:14">
      <c r="A13" s="28">
        <v>357</v>
      </c>
      <c r="B13" s="27" t="s">
        <v>38</v>
      </c>
      <c r="G13" s="171"/>
      <c r="H13" s="176" t="s">
        <v>64</v>
      </c>
      <c r="I13" s="176" t="s">
        <v>65</v>
      </c>
      <c r="J13" s="176" t="s">
        <v>66</v>
      </c>
      <c r="K13" s="177" t="s">
        <v>67</v>
      </c>
      <c r="L13" s="138"/>
    </row>
    <row r="14" spans="1:14">
      <c r="A14" s="28">
        <f>A13/25.4</f>
        <v>14.05511811023622</v>
      </c>
      <c r="B14" s="27" t="s">
        <v>39</v>
      </c>
      <c r="G14" s="178" t="s">
        <v>68</v>
      </c>
      <c r="H14" s="28">
        <v>0.25</v>
      </c>
      <c r="I14" s="28">
        <v>1.47</v>
      </c>
      <c r="J14" s="28">
        <v>3.56</v>
      </c>
      <c r="K14" s="179">
        <v>4.2699999999999996</v>
      </c>
      <c r="L14" s="138"/>
    </row>
    <row r="15" spans="1:14">
      <c r="A15" s="27">
        <f>A14/365</f>
        <v>3.8507172904756769E-2</v>
      </c>
      <c r="B15" s="27" t="s">
        <v>40</v>
      </c>
      <c r="G15" s="178" t="s">
        <v>69</v>
      </c>
      <c r="H15" s="28">
        <v>30</v>
      </c>
      <c r="I15" s="28">
        <v>31</v>
      </c>
      <c r="J15" s="28">
        <v>30</v>
      </c>
      <c r="K15" s="179">
        <v>10</v>
      </c>
      <c r="L15" s="138"/>
    </row>
    <row r="16" spans="1:14" s="53" customFormat="1">
      <c r="B16" s="27"/>
      <c r="C16" s="27"/>
      <c r="D16" s="27"/>
      <c r="G16" s="178" t="s">
        <v>70</v>
      </c>
      <c r="H16" s="28">
        <f>H14*H15</f>
        <v>7.5</v>
      </c>
      <c r="I16" s="28">
        <f>I14*I15</f>
        <v>45.57</v>
      </c>
      <c r="J16" s="28">
        <f>J14*J15</f>
        <v>106.8</v>
      </c>
      <c r="K16" s="179">
        <f>K14*K15</f>
        <v>42.699999999999996</v>
      </c>
      <c r="L16" s="138"/>
    </row>
    <row r="17" spans="1:21" s="53" customFormat="1">
      <c r="B17" s="27"/>
      <c r="C17" s="27"/>
      <c r="D17" s="27"/>
      <c r="E17" s="27"/>
      <c r="F17" s="27"/>
      <c r="G17" s="180"/>
      <c r="H17"/>
      <c r="I17"/>
      <c r="J17"/>
      <c r="K17" s="181"/>
      <c r="L17" s="138"/>
    </row>
    <row r="18" spans="1:21" s="53" customFormat="1">
      <c r="A18" s="53" t="s">
        <v>58</v>
      </c>
      <c r="B18" s="27"/>
      <c r="C18" s="27"/>
      <c r="D18" s="27"/>
      <c r="E18" s="27"/>
      <c r="F18" s="27"/>
      <c r="G18" s="182" t="s">
        <v>71</v>
      </c>
      <c r="H18" s="183">
        <f>SUM(H16:K16)</f>
        <v>202.57</v>
      </c>
      <c r="I18" s="183"/>
      <c r="J18" s="183"/>
      <c r="K18" s="184"/>
      <c r="L18" s="138"/>
      <c r="M18" s="27"/>
      <c r="P18" s="27"/>
      <c r="S18" s="27"/>
    </row>
    <row r="19" spans="1:21" s="53" customFormat="1">
      <c r="A19" s="53" t="s">
        <v>59</v>
      </c>
      <c r="B19" s="27"/>
      <c r="C19" s="27"/>
      <c r="D19" s="27"/>
      <c r="E19" s="27"/>
      <c r="F19" s="27"/>
      <c r="K19" s="139"/>
      <c r="L19" s="138"/>
      <c r="M19"/>
      <c r="N19" s="139"/>
      <c r="O19" s="138"/>
      <c r="P19"/>
      <c r="Q19" s="139"/>
      <c r="R19" s="138"/>
      <c r="S19"/>
      <c r="T19" s="139"/>
    </row>
    <row r="20" spans="1:21">
      <c r="A20" s="34" t="s">
        <v>79</v>
      </c>
      <c r="G20"/>
      <c r="H20" s="139"/>
      <c r="I20" s="138"/>
      <c r="K20" s="139"/>
      <c r="L20" s="138"/>
      <c r="N20" s="139"/>
      <c r="O20" s="138"/>
      <c r="Q20" s="139"/>
      <c r="R20" s="138"/>
      <c r="T20" s="139"/>
    </row>
    <row r="21" spans="1:21">
      <c r="A21" s="27"/>
      <c r="G21" s="298"/>
      <c r="I21" s="139"/>
      <c r="J21" s="138"/>
      <c r="L21" s="139"/>
      <c r="M21" s="138"/>
      <c r="O21" s="139"/>
      <c r="P21" s="138"/>
      <c r="R21" s="139"/>
      <c r="S21" s="138"/>
      <c r="U21" s="139"/>
    </row>
    <row r="22" spans="1:21">
      <c r="A22" s="27"/>
      <c r="G22" s="30"/>
      <c r="H22" s="30"/>
      <c r="I22" s="299"/>
      <c r="J22" s="300"/>
      <c r="K22" s="30"/>
      <c r="L22" s="299"/>
      <c r="M22" s="138"/>
      <c r="O22" s="139"/>
      <c r="P22" s="138"/>
      <c r="R22" s="139"/>
      <c r="S22" s="138"/>
      <c r="U22" s="139"/>
    </row>
    <row r="23" spans="1:21">
      <c r="A23" s="27"/>
      <c r="H23" s="28"/>
      <c r="I23" s="140"/>
      <c r="J23" s="33"/>
      <c r="K23" s="28"/>
      <c r="L23" s="140"/>
      <c r="M23" s="138"/>
      <c r="O23" s="139"/>
      <c r="P23" s="138"/>
      <c r="R23" s="139"/>
      <c r="S23" s="138"/>
      <c r="U23" s="139"/>
    </row>
    <row r="24" spans="1:21">
      <c r="A24" s="27"/>
      <c r="J24" s="138"/>
      <c r="L24" s="139"/>
      <c r="M24" s="138"/>
      <c r="O24" s="139"/>
      <c r="P24" s="138"/>
      <c r="R24" s="139"/>
      <c r="S24" s="138"/>
      <c r="U24" s="139"/>
    </row>
    <row r="25" spans="1:21">
      <c r="A25" s="27"/>
      <c r="J25" s="138"/>
      <c r="L25" s="139"/>
      <c r="M25" s="138"/>
      <c r="O25" s="139"/>
      <c r="P25" s="138"/>
      <c r="R25" s="139"/>
      <c r="S25" s="138"/>
      <c r="U25" s="139"/>
    </row>
    <row r="26" spans="1:21">
      <c r="A26" s="27"/>
      <c r="J26" s="138"/>
      <c r="L26" s="139"/>
      <c r="M26" s="138"/>
      <c r="O26" s="139"/>
      <c r="P26" s="138"/>
      <c r="R26" s="139"/>
      <c r="S26" s="138"/>
      <c r="U26" s="139"/>
    </row>
    <row r="27" spans="1:21">
      <c r="A27" s="27"/>
      <c r="J27" s="138"/>
      <c r="L27" s="139"/>
      <c r="M27" s="138"/>
      <c r="O27" s="139"/>
      <c r="P27" s="138"/>
      <c r="R27" s="139"/>
      <c r="S27" s="138"/>
      <c r="U27" s="139"/>
    </row>
    <row r="28" spans="1:21">
      <c r="A28" s="27"/>
      <c r="J28" s="138"/>
      <c r="L28" s="139"/>
      <c r="M28" s="138"/>
      <c r="O28" s="139"/>
      <c r="P28" s="138"/>
      <c r="R28" s="139"/>
      <c r="S28" s="138"/>
      <c r="U28" s="139"/>
    </row>
    <row r="29" spans="1:21">
      <c r="A29" s="27"/>
      <c r="J29" s="138"/>
      <c r="L29" s="139"/>
      <c r="M29" s="138"/>
      <c r="O29" s="139"/>
      <c r="P29" s="138"/>
      <c r="R29" s="139"/>
      <c r="S29" s="138"/>
      <c r="U29" s="139"/>
    </row>
    <row r="30" spans="1:21">
      <c r="A30" s="27"/>
      <c r="J30" s="138"/>
      <c r="L30" s="139"/>
      <c r="M30" s="138"/>
      <c r="O30" s="139"/>
      <c r="P30" s="138"/>
      <c r="R30" s="139"/>
      <c r="S30" s="138"/>
      <c r="U30" s="139"/>
    </row>
    <row r="31" spans="1:21">
      <c r="A31" s="27"/>
      <c r="J31" s="138"/>
      <c r="L31" s="139"/>
      <c r="M31" s="138"/>
      <c r="O31" s="139"/>
      <c r="P31" s="138"/>
      <c r="R31" s="139"/>
      <c r="S31" s="138"/>
      <c r="U31" s="139"/>
    </row>
    <row r="32" spans="1:21">
      <c r="A32" s="27"/>
      <c r="J32" s="138"/>
      <c r="L32" s="139"/>
      <c r="M32" s="138"/>
      <c r="O32" s="139"/>
      <c r="P32" s="138"/>
      <c r="R32" s="139"/>
      <c r="S32" s="138"/>
      <c r="U32" s="139"/>
    </row>
    <row r="33" spans="1:21">
      <c r="A33" s="27"/>
      <c r="J33" s="138"/>
      <c r="L33" s="139"/>
      <c r="M33" s="138"/>
      <c r="O33" s="139"/>
      <c r="P33" s="138"/>
      <c r="R33" s="139"/>
      <c r="S33" s="138"/>
      <c r="U33" s="139"/>
    </row>
    <row r="34" spans="1:21">
      <c r="A34" s="27"/>
      <c r="J34" s="138"/>
      <c r="L34" s="139"/>
      <c r="M34" s="138"/>
      <c r="O34" s="139"/>
      <c r="P34" s="138"/>
      <c r="R34" s="139"/>
      <c r="S34" s="138"/>
      <c r="U34" s="139"/>
    </row>
    <row r="35" spans="1:21">
      <c r="A35" s="27"/>
      <c r="J35" s="138"/>
      <c r="L35" s="139"/>
      <c r="M35" s="138"/>
      <c r="O35" s="139"/>
      <c r="P35" s="138"/>
      <c r="R35" s="139"/>
      <c r="S35" s="138"/>
      <c r="U35" s="139"/>
    </row>
    <row r="36" spans="1:21">
      <c r="A36" s="27"/>
      <c r="J36" s="138"/>
      <c r="L36" s="139"/>
      <c r="M36" s="138"/>
      <c r="O36" s="139"/>
      <c r="P36" s="138"/>
      <c r="R36" s="139"/>
      <c r="S36" s="138"/>
      <c r="U36" s="139"/>
    </row>
    <row r="37" spans="1:21">
      <c r="A37" s="27"/>
      <c r="J37" s="138"/>
      <c r="L37" s="139"/>
      <c r="M37" s="138"/>
      <c r="O37" s="139"/>
      <c r="P37" s="138"/>
      <c r="R37" s="139"/>
      <c r="S37" s="138"/>
      <c r="U37" s="139"/>
    </row>
    <row r="38" spans="1:21">
      <c r="A38" s="27"/>
      <c r="J38" s="138"/>
      <c r="L38" s="139"/>
      <c r="M38" s="138"/>
      <c r="O38" s="139"/>
      <c r="P38" s="138"/>
      <c r="R38" s="139"/>
      <c r="S38" s="138"/>
      <c r="U38" s="139"/>
    </row>
    <row r="39" spans="1:21">
      <c r="A39" s="27"/>
      <c r="J39" s="138"/>
      <c r="L39" s="139"/>
      <c r="M39" s="138"/>
      <c r="O39" s="139"/>
      <c r="P39" s="138"/>
      <c r="R39" s="139"/>
      <c r="S39" s="138"/>
      <c r="U39" s="139"/>
    </row>
    <row r="40" spans="1:21">
      <c r="A40" s="27"/>
      <c r="J40" s="138"/>
      <c r="L40" s="139"/>
      <c r="M40" s="138"/>
      <c r="O40" s="139"/>
      <c r="P40" s="138"/>
      <c r="R40" s="139"/>
      <c r="S40" s="138"/>
      <c r="U40" s="139"/>
    </row>
    <row r="41" spans="1:21">
      <c r="A41" s="27"/>
      <c r="J41" s="138"/>
      <c r="L41" s="139"/>
      <c r="M41" s="138"/>
      <c r="O41" s="139"/>
      <c r="P41" s="138"/>
      <c r="R41" s="139"/>
      <c r="S41" s="138"/>
      <c r="U41" s="139"/>
    </row>
    <row r="42" spans="1:21">
      <c r="A42" s="27"/>
      <c r="J42" s="138"/>
      <c r="L42" s="139"/>
      <c r="M42" s="138"/>
      <c r="O42" s="139"/>
      <c r="P42" s="138"/>
      <c r="R42" s="139"/>
      <c r="S42" s="138"/>
      <c r="U42" s="139"/>
    </row>
    <row r="43" spans="1:21">
      <c r="A43" s="27"/>
      <c r="J43" s="138"/>
      <c r="L43" s="139"/>
      <c r="M43" s="138"/>
      <c r="O43" s="139"/>
      <c r="P43" s="138"/>
      <c r="R43" s="139"/>
      <c r="S43" s="138"/>
      <c r="U43" s="139"/>
    </row>
    <row r="44" spans="1:21">
      <c r="A44" s="27"/>
      <c r="J44" s="138"/>
      <c r="L44" s="139"/>
      <c r="M44" s="138"/>
      <c r="O44" s="139"/>
      <c r="P44" s="138"/>
      <c r="R44" s="139"/>
      <c r="S44" s="138"/>
      <c r="U44" s="139"/>
    </row>
    <row r="45" spans="1:21">
      <c r="A45" s="27"/>
      <c r="J45" s="138"/>
      <c r="L45" s="139"/>
      <c r="M45" s="138"/>
      <c r="O45" s="139"/>
      <c r="P45" s="138"/>
      <c r="R45" s="139"/>
      <c r="S45" s="138"/>
      <c r="U45" s="139"/>
    </row>
    <row r="46" spans="1:21">
      <c r="A46" s="27"/>
      <c r="J46" s="138"/>
      <c r="L46" s="139"/>
      <c r="M46" s="138"/>
      <c r="O46" s="139"/>
      <c r="P46" s="138"/>
      <c r="R46" s="139"/>
      <c r="S46" s="138"/>
      <c r="U46" s="139"/>
    </row>
    <row r="47" spans="1:21">
      <c r="A47" s="27"/>
      <c r="J47" s="138"/>
      <c r="L47" s="139"/>
      <c r="M47" s="138"/>
      <c r="O47" s="139"/>
      <c r="P47" s="138"/>
      <c r="R47" s="139"/>
      <c r="S47" s="138"/>
      <c r="U47" s="139"/>
    </row>
    <row r="48" spans="1:21">
      <c r="A48" s="27"/>
      <c r="J48" s="138"/>
      <c r="L48" s="139"/>
      <c r="M48" s="138"/>
      <c r="O48" s="139"/>
      <c r="P48" s="138"/>
      <c r="R48" s="139"/>
      <c r="S48" s="138"/>
      <c r="U48" s="139"/>
    </row>
    <row r="49" spans="1:21">
      <c r="A49" s="27"/>
      <c r="J49" s="138"/>
      <c r="L49" s="139"/>
      <c r="M49" s="138"/>
      <c r="O49" s="139"/>
      <c r="P49" s="138"/>
      <c r="R49" s="139"/>
      <c r="S49" s="138"/>
      <c r="U49" s="139"/>
    </row>
    <row r="50" spans="1:21">
      <c r="A50" s="27"/>
      <c r="J50" s="138"/>
      <c r="L50" s="139"/>
      <c r="M50" s="138"/>
      <c r="O50" s="139"/>
      <c r="P50" s="138"/>
      <c r="R50" s="139"/>
      <c r="S50" s="138"/>
      <c r="U50" s="139"/>
    </row>
    <row r="51" spans="1:21">
      <c r="A51" s="27"/>
      <c r="J51" s="138"/>
      <c r="L51" s="139"/>
      <c r="M51" s="138"/>
      <c r="O51" s="139"/>
      <c r="P51" s="138"/>
      <c r="R51" s="139"/>
      <c r="S51" s="138"/>
      <c r="U51" s="139"/>
    </row>
    <row r="52" spans="1:21">
      <c r="A52" s="27"/>
      <c r="J52" s="138"/>
      <c r="L52" s="139"/>
      <c r="M52" s="138"/>
      <c r="O52" s="139"/>
      <c r="P52" s="138"/>
      <c r="R52" s="139"/>
      <c r="S52" s="138"/>
      <c r="U52" s="139"/>
    </row>
    <row r="53" spans="1:21">
      <c r="A53" s="27"/>
      <c r="J53" s="138"/>
      <c r="L53" s="139"/>
      <c r="M53" s="138"/>
      <c r="O53" s="139"/>
      <c r="P53" s="138"/>
      <c r="R53" s="139"/>
      <c r="S53" s="138"/>
      <c r="U53" s="139"/>
    </row>
    <row r="54" spans="1:21">
      <c r="A54" s="27"/>
      <c r="J54" s="138"/>
      <c r="L54" s="139"/>
      <c r="M54" s="138"/>
      <c r="O54" s="139"/>
      <c r="P54" s="138"/>
      <c r="R54" s="139"/>
      <c r="S54" s="138"/>
      <c r="U54" s="139"/>
    </row>
    <row r="55" spans="1:21">
      <c r="A55" s="27"/>
      <c r="J55" s="138"/>
      <c r="L55" s="139"/>
      <c r="M55" s="138"/>
      <c r="O55" s="139"/>
      <c r="P55" s="138"/>
      <c r="R55" s="139"/>
      <c r="S55" s="138"/>
      <c r="U55" s="139"/>
    </row>
    <row r="56" spans="1:21">
      <c r="A56" s="27"/>
      <c r="J56" s="138"/>
      <c r="L56" s="139"/>
      <c r="M56" s="138"/>
      <c r="O56" s="139"/>
      <c r="P56" s="138"/>
      <c r="R56" s="139"/>
      <c r="S56" s="138"/>
      <c r="U56" s="139"/>
    </row>
    <row r="57" spans="1:21">
      <c r="A57" s="27"/>
      <c r="J57" s="138"/>
      <c r="L57" s="139"/>
      <c r="M57" s="138"/>
      <c r="O57" s="139"/>
      <c r="P57" s="138"/>
      <c r="R57" s="139"/>
      <c r="S57" s="138"/>
      <c r="U57" s="139"/>
    </row>
    <row r="58" spans="1:21">
      <c r="A58" s="27"/>
      <c r="J58" s="138"/>
      <c r="L58" s="139"/>
      <c r="M58" s="138"/>
      <c r="O58" s="139"/>
      <c r="P58" s="138"/>
      <c r="R58" s="139"/>
      <c r="S58" s="138"/>
      <c r="U58" s="139"/>
    </row>
    <row r="59" spans="1:21">
      <c r="A59" s="27"/>
      <c r="J59" s="138"/>
      <c r="L59" s="139"/>
      <c r="M59" s="138"/>
      <c r="O59" s="139"/>
      <c r="P59" s="138"/>
      <c r="R59" s="139"/>
      <c r="S59" s="138"/>
      <c r="U59" s="139"/>
    </row>
    <row r="60" spans="1:21">
      <c r="A60" s="27"/>
      <c r="J60" s="138"/>
      <c r="L60" s="139"/>
      <c r="M60" s="138"/>
      <c r="O60" s="139"/>
      <c r="P60" s="138"/>
      <c r="R60" s="139"/>
      <c r="S60" s="138"/>
      <c r="U60" s="139"/>
    </row>
    <row r="61" spans="1:21">
      <c r="J61" s="138"/>
      <c r="L61" s="139"/>
      <c r="M61" s="138"/>
      <c r="O61" s="139"/>
      <c r="P61" s="138"/>
      <c r="R61" s="139"/>
      <c r="S61" s="138"/>
      <c r="U61" s="139"/>
    </row>
    <row r="62" spans="1:21">
      <c r="J62" s="138"/>
      <c r="L62" s="139"/>
      <c r="M62" s="138"/>
      <c r="O62" s="139"/>
      <c r="P62" s="138"/>
      <c r="R62" s="139"/>
      <c r="S62" s="138"/>
      <c r="U62" s="139"/>
    </row>
    <row r="63" spans="1:21">
      <c r="J63" s="138"/>
      <c r="L63" s="139"/>
      <c r="M63" s="138"/>
      <c r="O63" s="139"/>
      <c r="P63" s="138"/>
      <c r="R63" s="139"/>
      <c r="S63" s="138"/>
      <c r="U63" s="139"/>
    </row>
    <row r="64" spans="1:21">
      <c r="J64" s="138"/>
      <c r="L64" s="139"/>
      <c r="M64" s="138"/>
      <c r="O64" s="139"/>
      <c r="P64" s="138"/>
      <c r="R64" s="139"/>
      <c r="S64" s="138"/>
      <c r="U64" s="139"/>
    </row>
    <row r="65" spans="10:21" customFormat="1">
      <c r="J65" s="138"/>
      <c r="L65" s="139"/>
      <c r="M65" s="138"/>
      <c r="O65" s="139"/>
      <c r="P65" s="138"/>
      <c r="R65" s="139"/>
      <c r="S65" s="138"/>
      <c r="U65" s="139"/>
    </row>
    <row r="66" spans="10:21" customFormat="1">
      <c r="J66" s="138"/>
      <c r="L66" s="139"/>
      <c r="M66" s="138"/>
      <c r="O66" s="139"/>
      <c r="P66" s="138"/>
      <c r="R66" s="139"/>
      <c r="S66" s="138"/>
      <c r="U66" s="139"/>
    </row>
    <row r="67" spans="10:21" customFormat="1">
      <c r="J67" s="138"/>
      <c r="L67" s="139"/>
      <c r="M67" s="138"/>
      <c r="O67" s="139"/>
      <c r="P67" s="138"/>
      <c r="R67" s="139"/>
      <c r="S67" s="138"/>
      <c r="U67" s="139"/>
    </row>
    <row r="68" spans="10:21" customFormat="1">
      <c r="J68" s="138"/>
      <c r="L68" s="139"/>
      <c r="M68" s="138"/>
      <c r="O68" s="139"/>
      <c r="P68" s="138"/>
      <c r="R68" s="139"/>
      <c r="S68" s="138"/>
      <c r="U68" s="139"/>
    </row>
    <row r="69" spans="10:21" customFormat="1">
      <c r="J69" s="138"/>
      <c r="L69" s="139"/>
      <c r="M69" s="138"/>
      <c r="O69" s="139"/>
      <c r="P69" s="138"/>
      <c r="R69" s="139"/>
      <c r="S69" s="138"/>
      <c r="U69" s="139"/>
    </row>
    <row r="70" spans="10:21" customFormat="1">
      <c r="J70" s="138"/>
      <c r="L70" s="139"/>
      <c r="M70" s="138"/>
      <c r="O70" s="139"/>
      <c r="P70" s="138"/>
      <c r="R70" s="139"/>
      <c r="S70" s="138"/>
      <c r="U70" s="139"/>
    </row>
    <row r="71" spans="10:21" customFormat="1">
      <c r="J71" s="138"/>
      <c r="L71" s="139"/>
      <c r="M71" s="138"/>
      <c r="O71" s="139"/>
      <c r="P71" s="138"/>
      <c r="R71" s="139"/>
      <c r="S71" s="138"/>
      <c r="U71" s="139"/>
    </row>
    <row r="72" spans="10:21" customFormat="1">
      <c r="J72" s="138"/>
      <c r="L72" s="139"/>
      <c r="M72" s="138"/>
      <c r="O72" s="139"/>
      <c r="P72" s="138"/>
      <c r="R72" s="139"/>
      <c r="S72" s="138"/>
      <c r="U72" s="139"/>
    </row>
    <row r="73" spans="10:21" customFormat="1">
      <c r="J73" s="138"/>
      <c r="L73" s="139"/>
      <c r="M73" s="138"/>
      <c r="O73" s="139"/>
      <c r="P73" s="138"/>
      <c r="R73" s="139"/>
      <c r="S73" s="138"/>
      <c r="U73" s="139"/>
    </row>
    <row r="74" spans="10:21" customFormat="1">
      <c r="J74" s="138"/>
      <c r="L74" s="139"/>
      <c r="M74" s="138"/>
      <c r="O74" s="139"/>
      <c r="P74" s="138"/>
      <c r="R74" s="139"/>
      <c r="S74" s="138"/>
      <c r="U74" s="139"/>
    </row>
    <row r="75" spans="10:21" customFormat="1">
      <c r="J75" s="138"/>
      <c r="L75" s="139"/>
      <c r="M75" s="138"/>
      <c r="O75" s="139"/>
      <c r="P75" s="138"/>
      <c r="R75" s="139"/>
      <c r="S75" s="138"/>
      <c r="U75" s="139"/>
    </row>
    <row r="76" spans="10:21" customFormat="1">
      <c r="J76" s="138"/>
      <c r="L76" s="139"/>
      <c r="M76" s="138"/>
      <c r="O76" s="139"/>
      <c r="P76" s="138"/>
      <c r="R76" s="139"/>
      <c r="S76" s="138"/>
      <c r="U76" s="139"/>
    </row>
    <row r="77" spans="10:21" customFormat="1">
      <c r="J77" s="138"/>
      <c r="L77" s="139"/>
      <c r="M77" s="138"/>
      <c r="O77" s="139"/>
      <c r="P77" s="138"/>
      <c r="R77" s="139"/>
      <c r="S77" s="138"/>
      <c r="U77" s="139"/>
    </row>
    <row r="78" spans="10:21" customFormat="1">
      <c r="J78" s="138"/>
      <c r="L78" s="139"/>
      <c r="M78" s="138"/>
      <c r="O78" s="139"/>
      <c r="P78" s="138"/>
      <c r="R78" s="139"/>
      <c r="S78" s="138"/>
      <c r="U78" s="139"/>
    </row>
    <row r="79" spans="10:21" customFormat="1">
      <c r="J79" s="138"/>
      <c r="L79" s="139"/>
      <c r="M79" s="138"/>
      <c r="O79" s="139"/>
      <c r="P79" s="138"/>
      <c r="R79" s="139"/>
      <c r="S79" s="138"/>
      <c r="U79" s="139"/>
    </row>
    <row r="80" spans="10:21" customFormat="1">
      <c r="J80" s="138"/>
      <c r="L80" s="139"/>
      <c r="M80" s="138"/>
      <c r="O80" s="139"/>
      <c r="P80" s="138"/>
      <c r="R80" s="139"/>
      <c r="S80" s="138"/>
      <c r="U80" s="139"/>
    </row>
    <row r="81" spans="10:21" customFormat="1">
      <c r="J81" s="138"/>
      <c r="L81" s="139"/>
      <c r="M81" s="138"/>
      <c r="O81" s="139"/>
      <c r="P81" s="138"/>
      <c r="R81" s="139"/>
      <c r="S81" s="138"/>
      <c r="U81" s="139"/>
    </row>
    <row r="82" spans="10:21" customFormat="1">
      <c r="J82" s="138"/>
      <c r="L82" s="139"/>
      <c r="M82" s="138"/>
      <c r="O82" s="139"/>
      <c r="P82" s="138"/>
      <c r="R82" s="139"/>
      <c r="S82" s="138"/>
      <c r="U82" s="139"/>
    </row>
    <row r="83" spans="10:21" customFormat="1">
      <c r="J83" s="138"/>
      <c r="L83" s="139"/>
      <c r="M83" s="138"/>
      <c r="O83" s="139"/>
      <c r="P83" s="138"/>
      <c r="R83" s="139"/>
      <c r="S83" s="138"/>
      <c r="U83" s="139"/>
    </row>
    <row r="84" spans="10:21" customFormat="1">
      <c r="J84" s="138"/>
      <c r="L84" s="139"/>
      <c r="M84" s="138"/>
      <c r="O84" s="139"/>
      <c r="P84" s="138"/>
      <c r="R84" s="139"/>
      <c r="S84" s="138"/>
      <c r="U84" s="139"/>
    </row>
    <row r="85" spans="10:21" customFormat="1">
      <c r="J85" s="138"/>
      <c r="L85" s="139"/>
      <c r="M85" s="138"/>
      <c r="O85" s="139"/>
      <c r="P85" s="138"/>
      <c r="R85" s="139"/>
      <c r="S85" s="138"/>
      <c r="U85" s="139"/>
    </row>
    <row r="86" spans="10:21" customFormat="1">
      <c r="J86" s="138"/>
      <c r="L86" s="139"/>
      <c r="M86" s="138"/>
      <c r="O86" s="139"/>
      <c r="P86" s="138"/>
      <c r="R86" s="139"/>
      <c r="S86" s="138"/>
      <c r="U86" s="139"/>
    </row>
    <row r="87" spans="10:21" customFormat="1">
      <c r="J87" s="138"/>
      <c r="L87" s="139"/>
      <c r="M87" s="138"/>
      <c r="O87" s="139"/>
      <c r="P87" s="138"/>
      <c r="R87" s="139"/>
      <c r="S87" s="138"/>
      <c r="U87" s="139"/>
    </row>
    <row r="88" spans="10:21" customFormat="1">
      <c r="J88" s="138"/>
      <c r="L88" s="139"/>
      <c r="M88" s="138"/>
      <c r="O88" s="139"/>
      <c r="P88" s="138"/>
      <c r="R88" s="139"/>
      <c r="S88" s="138"/>
      <c r="U88" s="139"/>
    </row>
    <row r="89" spans="10:21" customFormat="1">
      <c r="J89" s="138"/>
      <c r="L89" s="139"/>
      <c r="M89" s="138"/>
      <c r="O89" s="139"/>
      <c r="P89" s="138"/>
      <c r="R89" s="139"/>
      <c r="S89" s="138"/>
      <c r="U89" s="139"/>
    </row>
    <row r="90" spans="10:21" customFormat="1">
      <c r="J90" s="138"/>
      <c r="L90" s="139"/>
      <c r="M90" s="138"/>
      <c r="O90" s="139"/>
      <c r="P90" s="138"/>
      <c r="R90" s="139"/>
      <c r="S90" s="138"/>
      <c r="U90" s="139"/>
    </row>
    <row r="91" spans="10:21" customFormat="1">
      <c r="J91" s="138"/>
      <c r="L91" s="139"/>
      <c r="M91" s="138"/>
      <c r="O91" s="139"/>
      <c r="P91" s="138"/>
      <c r="R91" s="139"/>
      <c r="S91" s="138"/>
      <c r="U91" s="139"/>
    </row>
    <row r="92" spans="10:21" customFormat="1">
      <c r="J92" s="138"/>
      <c r="L92" s="139"/>
      <c r="M92" s="138"/>
      <c r="O92" s="139"/>
      <c r="P92" s="138"/>
      <c r="R92" s="139"/>
      <c r="S92" s="138"/>
      <c r="U92" s="139"/>
    </row>
    <row r="93" spans="10:21" customFormat="1">
      <c r="J93" s="138"/>
      <c r="L93" s="139"/>
      <c r="M93" s="138"/>
      <c r="O93" s="139"/>
      <c r="P93" s="138"/>
      <c r="R93" s="139"/>
      <c r="S93" s="138"/>
      <c r="U93" s="139"/>
    </row>
    <row r="94" spans="10:21" customFormat="1">
      <c r="J94" s="138"/>
      <c r="L94" s="139"/>
      <c r="M94" s="138"/>
      <c r="O94" s="139"/>
      <c r="P94" s="138"/>
      <c r="R94" s="139"/>
      <c r="S94" s="138"/>
      <c r="U94" s="139"/>
    </row>
    <row r="95" spans="10:21" customFormat="1">
      <c r="J95" s="138"/>
      <c r="L95" s="139"/>
      <c r="M95" s="138"/>
      <c r="O95" s="139"/>
      <c r="P95" s="138"/>
      <c r="R95" s="139"/>
      <c r="S95" s="138"/>
      <c r="U95" s="139"/>
    </row>
    <row r="96" spans="10:21" customFormat="1">
      <c r="J96" s="138"/>
      <c r="L96" s="139"/>
      <c r="M96" s="138"/>
      <c r="O96" s="139"/>
      <c r="P96" s="138"/>
      <c r="R96" s="139"/>
      <c r="S96" s="138"/>
      <c r="U96" s="139"/>
    </row>
    <row r="97" spans="10:21" customFormat="1">
      <c r="J97" s="138"/>
      <c r="L97" s="139"/>
      <c r="M97" s="138"/>
      <c r="O97" s="139"/>
      <c r="P97" s="138"/>
      <c r="R97" s="139"/>
      <c r="S97" s="138"/>
      <c r="U97" s="139"/>
    </row>
    <row r="98" spans="10:21" customFormat="1">
      <c r="J98" s="138"/>
      <c r="L98" s="139"/>
      <c r="M98" s="138"/>
      <c r="O98" s="139"/>
      <c r="P98" s="138"/>
      <c r="R98" s="139"/>
      <c r="S98" s="138"/>
      <c r="U98" s="139"/>
    </row>
    <row r="99" spans="10:21" customFormat="1">
      <c r="J99" s="138"/>
      <c r="L99" s="139"/>
      <c r="M99" s="138"/>
      <c r="O99" s="139"/>
      <c r="P99" s="138"/>
      <c r="R99" s="139"/>
      <c r="S99" s="138"/>
      <c r="U99" s="139"/>
    </row>
    <row r="100" spans="10:21" customFormat="1">
      <c r="J100" s="138"/>
      <c r="L100" s="139"/>
      <c r="M100" s="138"/>
      <c r="O100" s="139"/>
      <c r="P100" s="138"/>
      <c r="R100" s="139"/>
      <c r="S100" s="138"/>
      <c r="U100" s="139"/>
    </row>
    <row r="101" spans="10:21" customFormat="1">
      <c r="J101" s="138"/>
      <c r="L101" s="139"/>
      <c r="M101" s="138"/>
      <c r="O101" s="139"/>
      <c r="P101" s="138"/>
      <c r="R101" s="139"/>
      <c r="S101" s="138"/>
      <c r="U101" s="139"/>
    </row>
    <row r="102" spans="10:21" customFormat="1">
      <c r="J102" s="138"/>
      <c r="L102" s="139"/>
      <c r="M102" s="138"/>
      <c r="O102" s="139"/>
      <c r="P102" s="138"/>
      <c r="R102" s="139"/>
      <c r="S102" s="138"/>
      <c r="U102" s="139"/>
    </row>
    <row r="103" spans="10:21" customFormat="1">
      <c r="J103" s="138"/>
      <c r="L103" s="139"/>
      <c r="M103" s="138"/>
      <c r="O103" s="139"/>
      <c r="P103" s="138"/>
      <c r="R103" s="139"/>
      <c r="S103" s="138"/>
      <c r="U103" s="139"/>
    </row>
    <row r="104" spans="10:21" customFormat="1">
      <c r="J104" s="138"/>
      <c r="L104" s="139"/>
      <c r="M104" s="138"/>
      <c r="O104" s="139"/>
      <c r="P104" s="138"/>
      <c r="R104" s="139"/>
      <c r="S104" s="138"/>
      <c r="U104" s="139"/>
    </row>
    <row r="105" spans="10:21" customFormat="1">
      <c r="J105" s="138"/>
      <c r="L105" s="139"/>
      <c r="M105" s="138"/>
      <c r="O105" s="139"/>
      <c r="P105" s="138"/>
      <c r="R105" s="139"/>
      <c r="S105" s="138"/>
      <c r="U105" s="139"/>
    </row>
    <row r="106" spans="10:21" customFormat="1">
      <c r="J106" s="138"/>
      <c r="L106" s="139"/>
      <c r="M106" s="138"/>
      <c r="O106" s="139"/>
      <c r="P106" s="138"/>
      <c r="R106" s="139"/>
      <c r="S106" s="138"/>
      <c r="U106" s="139"/>
    </row>
    <row r="107" spans="10:21" customFormat="1">
      <c r="J107" s="138"/>
      <c r="L107" s="139"/>
      <c r="M107" s="138"/>
      <c r="O107" s="139"/>
      <c r="P107" s="138"/>
      <c r="R107" s="139"/>
      <c r="S107" s="138"/>
      <c r="U107" s="139"/>
    </row>
    <row r="108" spans="10:21" customFormat="1">
      <c r="J108" s="138"/>
      <c r="L108" s="139"/>
      <c r="M108" s="138"/>
      <c r="O108" s="139"/>
      <c r="P108" s="138"/>
      <c r="R108" s="139"/>
      <c r="S108" s="138"/>
      <c r="U108" s="139"/>
    </row>
    <row r="109" spans="10:21" customFormat="1">
      <c r="J109" s="138"/>
      <c r="L109" s="139"/>
      <c r="M109" s="138"/>
      <c r="O109" s="139"/>
      <c r="P109" s="138"/>
      <c r="R109" s="139"/>
      <c r="S109" s="138"/>
      <c r="U109" s="139"/>
    </row>
    <row r="110" spans="10:21" customFormat="1">
      <c r="J110" s="138"/>
      <c r="L110" s="139"/>
      <c r="M110" s="138"/>
      <c r="O110" s="139"/>
      <c r="P110" s="138"/>
      <c r="R110" s="139"/>
      <c r="S110" s="138"/>
      <c r="U110" s="139"/>
    </row>
    <row r="111" spans="10:21" customFormat="1">
      <c r="J111" s="138"/>
      <c r="L111" s="139"/>
      <c r="M111" s="138"/>
      <c r="O111" s="139"/>
      <c r="P111" s="138"/>
      <c r="R111" s="139"/>
      <c r="S111" s="138"/>
      <c r="U111" s="139"/>
    </row>
    <row r="112" spans="10:21" customFormat="1">
      <c r="J112" s="138"/>
      <c r="L112" s="139"/>
      <c r="M112" s="138"/>
      <c r="O112" s="139"/>
      <c r="P112" s="138"/>
      <c r="R112" s="139"/>
      <c r="S112" s="138"/>
      <c r="U112" s="139"/>
    </row>
    <row r="113" spans="10:21" customFormat="1">
      <c r="J113" s="138"/>
      <c r="L113" s="139"/>
      <c r="M113" s="137"/>
      <c r="O113" s="139"/>
      <c r="P113" s="138"/>
      <c r="R113" s="139"/>
      <c r="S113" s="138"/>
      <c r="U113" s="139"/>
    </row>
    <row r="114" spans="10:21" customFormat="1">
      <c r="J114" s="138"/>
      <c r="L114" s="139"/>
      <c r="O114" s="139"/>
      <c r="P114" s="138"/>
      <c r="R114" s="139"/>
      <c r="S114" s="138"/>
      <c r="U114" s="139"/>
    </row>
    <row r="115" spans="10:21" customFormat="1">
      <c r="J115" s="137"/>
      <c r="K115" s="53"/>
      <c r="L115" s="139"/>
      <c r="O115" s="139"/>
      <c r="P115" s="138"/>
      <c r="R115" s="139"/>
      <c r="S115" s="138"/>
      <c r="U115" s="139"/>
    </row>
    <row r="116" spans="10:21" customFormat="1">
      <c r="N116" s="53"/>
      <c r="O116" s="139"/>
      <c r="P116" s="137"/>
      <c r="Q116" s="53"/>
      <c r="R116" s="139"/>
      <c r="S116" s="137"/>
      <c r="T116" s="53"/>
      <c r="U116" s="139"/>
    </row>
    <row r="117" spans="10:21" customFormat="1">
      <c r="L117" s="139"/>
    </row>
    <row r="118" spans="10:21" customFormat="1">
      <c r="O118" s="139"/>
      <c r="R118" s="139"/>
      <c r="U118" s="139"/>
    </row>
  </sheetData>
  <sortState xmlns:xlrd2="http://schemas.microsoft.com/office/spreadsheetml/2017/richdata2" ref="G18:K115">
    <sortCondition ref="G18:G1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zoomScale="175" zoomScaleNormal="175" workbookViewId="0">
      <selection activeCell="A5" sqref="A5:XFD9"/>
    </sheetView>
  </sheetViews>
  <sheetFormatPr defaultRowHeight="12.75"/>
  <sheetData>
    <row r="1" spans="1:13">
      <c r="A1" s="196" t="s">
        <v>0</v>
      </c>
      <c r="B1" s="204" t="s">
        <v>44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13">
      <c r="A2" s="197"/>
      <c r="B2" s="209" t="s">
        <v>45</v>
      </c>
      <c r="C2" s="210"/>
      <c r="D2" s="210"/>
      <c r="E2" s="210"/>
      <c r="F2" s="210"/>
      <c r="G2" s="210"/>
      <c r="H2" s="210"/>
      <c r="I2" s="210"/>
      <c r="J2" s="211"/>
      <c r="K2" s="211"/>
      <c r="L2" s="210"/>
      <c r="M2" s="212"/>
    </row>
    <row r="3" spans="1:13" ht="27.75" customHeight="1">
      <c r="A3" s="197"/>
      <c r="B3" s="199" t="s">
        <v>51</v>
      </c>
      <c r="C3" s="200"/>
      <c r="D3" s="201" t="s">
        <v>55</v>
      </c>
      <c r="E3" s="200"/>
      <c r="F3" s="207" t="s">
        <v>54</v>
      </c>
      <c r="G3" s="208"/>
      <c r="H3" s="201" t="s">
        <v>50</v>
      </c>
      <c r="I3" s="203"/>
      <c r="J3" s="201" t="s">
        <v>61</v>
      </c>
      <c r="K3" s="200"/>
      <c r="L3" s="201" t="s">
        <v>77</v>
      </c>
      <c r="M3" s="202"/>
    </row>
    <row r="4" spans="1:13" ht="48" customHeight="1" thickBot="1">
      <c r="A4" s="198"/>
      <c r="B4" s="96" t="s">
        <v>19</v>
      </c>
      <c r="C4" s="43" t="s">
        <v>20</v>
      </c>
      <c r="D4" s="97" t="s">
        <v>19</v>
      </c>
      <c r="E4" s="43" t="s">
        <v>20</v>
      </c>
      <c r="F4" s="99" t="s">
        <v>19</v>
      </c>
      <c r="G4" s="44" t="s">
        <v>20</v>
      </c>
      <c r="H4" s="97" t="s">
        <v>19</v>
      </c>
      <c r="I4" s="50" t="s">
        <v>20</v>
      </c>
      <c r="J4" s="97" t="s">
        <v>19</v>
      </c>
      <c r="K4" s="43" t="s">
        <v>20</v>
      </c>
      <c r="L4" s="97" t="s">
        <v>19</v>
      </c>
      <c r="M4" s="46" t="s">
        <v>20</v>
      </c>
    </row>
    <row r="5" spans="1:13">
      <c r="A5" s="24">
        <v>2013</v>
      </c>
      <c r="B5" s="72">
        <v>0</v>
      </c>
      <c r="C5" s="4">
        <v>0</v>
      </c>
      <c r="D5" s="76">
        <v>0</v>
      </c>
      <c r="E5" s="4">
        <v>0</v>
      </c>
      <c r="F5" s="76">
        <v>0</v>
      </c>
      <c r="G5" s="133">
        <v>47.9</v>
      </c>
      <c r="H5" s="76">
        <f t="shared" ref="H5:I12" si="0">B5+D5+F5</f>
        <v>0</v>
      </c>
      <c r="I5" s="148">
        <f t="shared" si="0"/>
        <v>47.9</v>
      </c>
      <c r="J5" s="76">
        <v>0</v>
      </c>
      <c r="K5" s="145">
        <v>0</v>
      </c>
      <c r="L5" s="76">
        <v>0</v>
      </c>
      <c r="M5" s="124">
        <v>21.7</v>
      </c>
    </row>
    <row r="6" spans="1:13">
      <c r="A6" s="25">
        <v>2014</v>
      </c>
      <c r="B6" s="86">
        <v>413.2</v>
      </c>
      <c r="C6" s="47">
        <v>276.60000000000002</v>
      </c>
      <c r="D6" s="89">
        <v>0</v>
      </c>
      <c r="E6" s="5">
        <v>0</v>
      </c>
      <c r="F6" s="90">
        <v>46.8</v>
      </c>
      <c r="G6" s="47">
        <v>29.14</v>
      </c>
      <c r="H6" s="89">
        <f t="shared" si="0"/>
        <v>460</v>
      </c>
      <c r="I6" s="149">
        <f t="shared" si="0"/>
        <v>305.74</v>
      </c>
      <c r="J6" s="169">
        <v>0</v>
      </c>
      <c r="K6" s="47">
        <v>0</v>
      </c>
      <c r="L6" s="89">
        <v>195</v>
      </c>
      <c r="M6" s="119">
        <f>253.21+(I5-M5)</f>
        <v>279.41000000000003</v>
      </c>
    </row>
    <row r="7" spans="1:13">
      <c r="A7" s="26">
        <v>2015</v>
      </c>
      <c r="B7" s="87">
        <v>332.2</v>
      </c>
      <c r="C7" s="6">
        <v>239.27</v>
      </c>
      <c r="D7" s="78">
        <v>0</v>
      </c>
      <c r="E7" s="6">
        <v>0</v>
      </c>
      <c r="F7" s="91">
        <v>30</v>
      </c>
      <c r="G7" s="151">
        <v>35.267604172634108</v>
      </c>
      <c r="H7" s="78">
        <f t="shared" si="0"/>
        <v>362.2</v>
      </c>
      <c r="I7" s="150">
        <f t="shared" si="0"/>
        <v>274.53760417263413</v>
      </c>
      <c r="J7" s="78">
        <v>0</v>
      </c>
      <c r="K7" s="135">
        <v>324</v>
      </c>
      <c r="L7" s="78">
        <v>160.1</v>
      </c>
      <c r="M7" s="185">
        <v>0.1</v>
      </c>
    </row>
    <row r="8" spans="1:13">
      <c r="A8" s="25">
        <v>2016</v>
      </c>
      <c r="B8" s="86">
        <v>0</v>
      </c>
      <c r="C8" s="47">
        <v>0.6</v>
      </c>
      <c r="D8" s="77">
        <v>0</v>
      </c>
      <c r="E8" s="5">
        <v>0</v>
      </c>
      <c r="F8" s="90">
        <v>35</v>
      </c>
      <c r="G8" s="47">
        <v>25.91</v>
      </c>
      <c r="H8" s="89">
        <f t="shared" si="0"/>
        <v>35</v>
      </c>
      <c r="I8" s="149">
        <f t="shared" si="0"/>
        <v>26.51</v>
      </c>
      <c r="J8" s="169">
        <v>0</v>
      </c>
      <c r="K8" s="47">
        <v>205.3</v>
      </c>
      <c r="L8" s="89">
        <v>18.399999999999999</v>
      </c>
      <c r="M8" s="119">
        <v>-69.5</v>
      </c>
    </row>
    <row r="9" spans="1:13">
      <c r="A9" s="26">
        <v>2017</v>
      </c>
      <c r="B9" s="87">
        <v>273.2</v>
      </c>
      <c r="C9" s="6">
        <v>279</v>
      </c>
      <c r="D9" s="78">
        <v>0</v>
      </c>
      <c r="E9" s="6">
        <v>0</v>
      </c>
      <c r="F9" s="91">
        <v>35</v>
      </c>
      <c r="G9" s="136">
        <v>36.65</v>
      </c>
      <c r="H9" s="78">
        <f t="shared" si="0"/>
        <v>308.2</v>
      </c>
      <c r="I9" s="150">
        <f>C9+E9+G9</f>
        <v>315.64999999999998</v>
      </c>
      <c r="J9" s="78">
        <v>0</v>
      </c>
      <c r="K9" s="135">
        <v>364.2</v>
      </c>
      <c r="L9" s="78">
        <v>216.8</v>
      </c>
      <c r="M9" s="125">
        <v>-57</v>
      </c>
    </row>
    <row r="10" spans="1:13">
      <c r="A10" s="25">
        <v>2018</v>
      </c>
      <c r="B10" s="86">
        <v>368.24</v>
      </c>
      <c r="C10" s="47">
        <v>320</v>
      </c>
      <c r="D10" s="77">
        <v>0</v>
      </c>
      <c r="E10" s="5">
        <v>0</v>
      </c>
      <c r="F10" s="90">
        <v>27</v>
      </c>
      <c r="G10" s="47">
        <v>9.31</v>
      </c>
      <c r="H10" s="89">
        <f t="shared" si="0"/>
        <v>395.24</v>
      </c>
      <c r="I10" s="149">
        <f>C10+E10+G10</f>
        <v>329.31</v>
      </c>
      <c r="J10" s="169">
        <v>425</v>
      </c>
      <c r="K10" s="47">
        <v>345.1</v>
      </c>
      <c r="L10" s="89">
        <f>220.8+M9</f>
        <v>163.80000000000001</v>
      </c>
      <c r="M10" s="119">
        <f>80.2+M9</f>
        <v>23.200000000000003</v>
      </c>
    </row>
    <row r="11" spans="1:13">
      <c r="A11" s="26">
        <v>2019</v>
      </c>
      <c r="B11" s="87">
        <v>0</v>
      </c>
      <c r="C11" s="6">
        <v>0</v>
      </c>
      <c r="D11" s="78">
        <v>495.69</v>
      </c>
      <c r="E11" s="6">
        <v>160.4</v>
      </c>
      <c r="F11" s="91">
        <v>27</v>
      </c>
      <c r="G11" s="136">
        <v>27.3</v>
      </c>
      <c r="H11" s="78">
        <f>B11+D11+F11</f>
        <v>522.69000000000005</v>
      </c>
      <c r="I11" s="150">
        <f t="shared" si="0"/>
        <v>187.70000000000002</v>
      </c>
      <c r="J11" s="78">
        <v>323</v>
      </c>
      <c r="K11" s="135">
        <v>207.3</v>
      </c>
      <c r="L11" s="78">
        <v>228.5</v>
      </c>
      <c r="M11" s="125">
        <v>0</v>
      </c>
    </row>
    <row r="12" spans="1:13">
      <c r="A12" s="25">
        <v>2020</v>
      </c>
      <c r="B12" s="88">
        <v>0</v>
      </c>
      <c r="C12" s="5"/>
      <c r="D12" s="77">
        <v>33.049999999999997</v>
      </c>
      <c r="E12" s="5"/>
      <c r="F12" s="90">
        <v>27</v>
      </c>
      <c r="G12" s="134"/>
      <c r="H12" s="89">
        <f t="shared" si="0"/>
        <v>60.05</v>
      </c>
      <c r="I12" s="149">
        <f t="shared" si="0"/>
        <v>0</v>
      </c>
      <c r="J12" s="169">
        <v>33.049999999999997</v>
      </c>
      <c r="K12" s="47"/>
      <c r="L12" s="89">
        <v>0</v>
      </c>
      <c r="M12" s="119">
        <v>0</v>
      </c>
    </row>
    <row r="13" spans="1:13">
      <c r="I13" s="188">
        <f>SUM(I5:I12)</f>
        <v>1487.3476041726342</v>
      </c>
      <c r="K13" s="188">
        <f>SUM(K5:K12)</f>
        <v>1445.8999999999999</v>
      </c>
      <c r="M13" s="188">
        <f>SUM(M5:M12)</f>
        <v>197.91000000000003</v>
      </c>
    </row>
    <row r="14" spans="1:13">
      <c r="J14" s="188">
        <f>I13-K13</f>
        <v>41.447604172634328</v>
      </c>
      <c r="L14" s="188">
        <f>M13-J14</f>
        <v>156.4623958273657</v>
      </c>
    </row>
  </sheetData>
  <mergeCells count="9">
    <mergeCell ref="A1:A4"/>
    <mergeCell ref="B1:M1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Mitigation Accounting</vt:lpstr>
      <vt:lpstr>Evap &amp; Mit Calc</vt:lpstr>
      <vt:lpstr>Sheet1</vt:lpstr>
      <vt:lpstr>'Evap &amp; Mit Calc'!Print_Area</vt:lpstr>
      <vt:lpstr>'Mitigation Accounting'!Print_Area</vt:lpstr>
    </vt:vector>
  </TitlesOfParts>
  <Company>Holden Kidwell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Harris</dc:creator>
  <cp:lastModifiedBy>TJ Budge</cp:lastModifiedBy>
  <cp:lastPrinted>2017-03-09T00:14:16Z</cp:lastPrinted>
  <dcterms:created xsi:type="dcterms:W3CDTF">2008-03-07T23:07:58Z</dcterms:created>
  <dcterms:modified xsi:type="dcterms:W3CDTF">2020-03-28T22:47:18Z</dcterms:modified>
</cp:coreProperties>
</file>